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7DFE6075-D247-407D-A4E5-B7A930CD75DB}"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6"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02" i="63"/>
  <c r="C101" i="63"/>
  <c r="C135" i="63"/>
  <c r="C132" i="63"/>
  <c r="C133" i="63"/>
  <c r="D132" i="63" l="1"/>
  <c r="D133" i="63"/>
  <c r="D101" i="63"/>
  <c r="D102" i="63"/>
  <c r="A197" i="63"/>
  <c r="A165" i="63"/>
  <c r="A104" i="63"/>
  <c r="BA115" i="34"/>
  <c r="D135" i="63"/>
  <c r="A228" i="63"/>
  <c r="A260" i="63" s="1"/>
  <c r="A136" i="63"/>
  <c r="C164" i="63"/>
  <c r="C103" i="63"/>
  <c r="C196" i="63"/>
  <c r="C136" i="63"/>
  <c r="C260" i="63"/>
  <c r="D164" i="63" l="1"/>
  <c r="D196" i="63"/>
  <c r="D103" i="63"/>
  <c r="A166" i="63"/>
  <c r="A198" i="63"/>
  <c r="A229" i="63"/>
  <c r="A105" i="63"/>
  <c r="BA116" i="34"/>
  <c r="AB76" i="34"/>
  <c r="AB88" i="34" s="1"/>
  <c r="AB75" i="34"/>
  <c r="AB87" i="34" s="1"/>
  <c r="D136" i="63"/>
  <c r="D260" i="63"/>
  <c r="A261" i="63"/>
  <c r="A292" i="63"/>
  <c r="A230" i="63"/>
  <c r="A137" i="63"/>
  <c r="C197" i="63"/>
  <c r="C292" i="63"/>
  <c r="C228" i="63"/>
  <c r="C229" i="63"/>
  <c r="C261" i="63"/>
  <c r="C137" i="63"/>
  <c r="C104" i="63"/>
  <c r="C165" i="63"/>
  <c r="D104" i="63" l="1"/>
  <c r="D228" i="63"/>
  <c r="D197" i="63"/>
  <c r="D165" i="63"/>
  <c r="A106" i="63"/>
  <c r="A199" i="63"/>
  <c r="A167" i="63"/>
  <c r="BA117" i="34"/>
  <c r="AB77" i="34"/>
  <c r="AB89" i="34" s="1"/>
  <c r="D137" i="63"/>
  <c r="D292" i="63"/>
  <c r="D261" i="63"/>
  <c r="A324" i="63"/>
  <c r="A293" i="63"/>
  <c r="A262" i="63"/>
  <c r="D229" i="63"/>
  <c r="A231" i="63"/>
  <c r="A138" i="63"/>
  <c r="C293" i="63"/>
  <c r="C198" i="63"/>
  <c r="C230" i="63"/>
  <c r="C166" i="63"/>
  <c r="C324" i="63"/>
  <c r="C262" i="63"/>
  <c r="C105" i="63"/>
  <c r="C138" i="63"/>
  <c r="D105" i="63" l="1"/>
  <c r="D166" i="63"/>
  <c r="D198" i="63"/>
  <c r="A168" i="63"/>
  <c r="A107" i="63"/>
  <c r="A200" i="63"/>
  <c r="BA118" i="34"/>
  <c r="AB78" i="34"/>
  <c r="AB90" i="34" s="1"/>
  <c r="D138" i="63"/>
  <c r="D262" i="63"/>
  <c r="D293" i="63"/>
  <c r="D324" i="63"/>
  <c r="A263" i="63"/>
  <c r="A294" i="63"/>
  <c r="A325" i="63"/>
  <c r="A356" i="63"/>
  <c r="D230" i="63"/>
  <c r="A232" i="63"/>
  <c r="A139" i="63"/>
  <c r="C325" i="63"/>
  <c r="C294" i="63"/>
  <c r="C199" i="63"/>
  <c r="C231" i="63"/>
  <c r="C356" i="63"/>
  <c r="C139" i="63"/>
  <c r="C263" i="63"/>
  <c r="C167" i="63"/>
  <c r="C106"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232" i="63"/>
  <c r="C107" i="63"/>
  <c r="C388" i="63"/>
  <c r="C326" i="63"/>
  <c r="C295" i="63"/>
  <c r="C140" i="63"/>
  <c r="C264" i="63"/>
  <c r="C357" i="63"/>
  <c r="C168" i="63"/>
  <c r="C200"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296" i="63"/>
  <c r="C108" i="63"/>
  <c r="C201" i="63"/>
  <c r="C389" i="63"/>
  <c r="C265" i="63"/>
  <c r="C327" i="63"/>
  <c r="C358" i="63"/>
  <c r="C169" i="63"/>
  <c r="C141" i="63"/>
  <c r="C233"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390" i="63"/>
  <c r="C234" i="63"/>
  <c r="C202" i="63"/>
  <c r="C328" i="63"/>
  <c r="C359" i="63"/>
  <c r="C170" i="63"/>
  <c r="C109" i="63"/>
  <c r="C297" i="63"/>
  <c r="C266" i="63"/>
  <c r="C142" i="63"/>
  <c r="D109" i="63" l="1"/>
  <c r="D170" i="63"/>
  <c r="D202" i="63"/>
  <c r="A111" i="63"/>
  <c r="A204" i="63"/>
  <c r="AB96" i="34"/>
  <c r="A172" i="63"/>
  <c r="BA122" i="34"/>
  <c r="D297" i="63"/>
  <c r="D390" i="63"/>
  <c r="D328" i="63"/>
  <c r="D142" i="63"/>
  <c r="D359" i="63"/>
  <c r="D266" i="63"/>
  <c r="A298" i="63"/>
  <c r="A391" i="63"/>
  <c r="A329" i="63"/>
  <c r="A360" i="63"/>
  <c r="A267" i="63"/>
  <c r="D234" i="63"/>
  <c r="A236" i="63"/>
  <c r="A143" i="63"/>
  <c r="C171" i="63"/>
  <c r="C235" i="63"/>
  <c r="C143" i="63"/>
  <c r="C329" i="63"/>
  <c r="C267" i="63"/>
  <c r="C203" i="63"/>
  <c r="C360" i="63"/>
  <c r="C391" i="63"/>
  <c r="C298" i="63"/>
  <c r="C110"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392" i="63"/>
  <c r="C268" i="63"/>
  <c r="C144" i="63"/>
  <c r="C172" i="63"/>
  <c r="C330" i="63"/>
  <c r="C111" i="63"/>
  <c r="C299" i="63"/>
  <c r="C236" i="63"/>
  <c r="C204" i="63"/>
  <c r="C361" i="63"/>
  <c r="D204" i="63" l="1"/>
  <c r="D111" i="63"/>
  <c r="D172" i="63"/>
  <c r="A113" i="63"/>
  <c r="A174" i="63"/>
  <c r="A206" i="63"/>
  <c r="BA124" i="34"/>
  <c r="D268" i="63"/>
  <c r="D361" i="63"/>
  <c r="D299" i="63"/>
  <c r="D144" i="63"/>
  <c r="D392" i="63"/>
  <c r="D330" i="63"/>
  <c r="A269" i="63"/>
  <c r="A362" i="63"/>
  <c r="A300" i="63"/>
  <c r="A393" i="63"/>
  <c r="A331" i="63"/>
  <c r="D236" i="63"/>
  <c r="A238" i="63"/>
  <c r="A145" i="63"/>
  <c r="P72" i="25"/>
  <c r="C145" i="63"/>
  <c r="C237" i="63"/>
  <c r="C393" i="63"/>
  <c r="C269" i="63"/>
  <c r="C300" i="63"/>
  <c r="C205" i="63"/>
  <c r="C331" i="63"/>
  <c r="C362" i="63"/>
  <c r="C112" i="63"/>
  <c r="C173" i="63"/>
  <c r="D205" i="63" l="1"/>
  <c r="D173" i="63"/>
  <c r="D112" i="63"/>
  <c r="A175" i="63"/>
  <c r="A114" i="63"/>
  <c r="A207" i="63"/>
  <c r="BA125" i="34"/>
  <c r="D362" i="63"/>
  <c r="D393" i="63"/>
  <c r="D269" i="63"/>
  <c r="D145" i="63"/>
  <c r="D331" i="63"/>
  <c r="D300" i="63"/>
  <c r="A363" i="63"/>
  <c r="A394" i="63"/>
  <c r="A270" i="63"/>
  <c r="A332" i="63"/>
  <c r="A301" i="63"/>
  <c r="D237" i="63"/>
  <c r="A239" i="63"/>
  <c r="A146" i="63"/>
  <c r="C301" i="63"/>
  <c r="C146" i="63"/>
  <c r="C174" i="63"/>
  <c r="C332" i="63"/>
  <c r="C363" i="63"/>
  <c r="C206" i="63"/>
  <c r="C270" i="63"/>
  <c r="C238" i="63"/>
  <c r="C113" i="63"/>
  <c r="C394" i="63"/>
  <c r="D206" i="63" l="1"/>
  <c r="D113" i="63"/>
  <c r="D174" i="63"/>
  <c r="A115" i="63"/>
  <c r="A176" i="63"/>
  <c r="A208" i="63"/>
  <c r="BA126" i="34"/>
  <c r="D363" i="63"/>
  <c r="D146" i="63"/>
  <c r="D301" i="63"/>
  <c r="D332" i="63"/>
  <c r="D270" i="63"/>
  <c r="D394" i="63"/>
  <c r="A364" i="63"/>
  <c r="A302" i="63"/>
  <c r="A333" i="63"/>
  <c r="A271" i="63"/>
  <c r="A395" i="63"/>
  <c r="D238" i="63"/>
  <c r="A240" i="63"/>
  <c r="A147" i="63"/>
  <c r="A7" i="63"/>
  <c r="C114" i="63"/>
  <c r="C333" i="63"/>
  <c r="C302" i="63"/>
  <c r="C271" i="63"/>
  <c r="C175" i="63"/>
  <c r="C147" i="63"/>
  <c r="C239" i="63"/>
  <c r="C395" i="63"/>
  <c r="C364" i="63"/>
  <c r="C207"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240" i="63"/>
  <c r="C115" i="63"/>
  <c r="C303" i="63"/>
  <c r="C365" i="63"/>
  <c r="C396" i="63"/>
  <c r="C208" i="63"/>
  <c r="C272" i="63"/>
  <c r="C334" i="63"/>
  <c r="C148" i="63"/>
  <c r="C176" i="63"/>
  <c r="D115" i="63" l="1"/>
  <c r="D176" i="63"/>
  <c r="D208" i="63"/>
  <c r="A210" i="63"/>
  <c r="A117" i="63"/>
  <c r="A178" i="63"/>
  <c r="BA128" i="34"/>
  <c r="D334" i="63"/>
  <c r="D148" i="63"/>
  <c r="D303" i="63"/>
  <c r="D272" i="63"/>
  <c r="D365" i="63"/>
  <c r="D396" i="63"/>
  <c r="A335" i="63"/>
  <c r="A304" i="63"/>
  <c r="A273" i="63"/>
  <c r="A366" i="63"/>
  <c r="A397" i="63"/>
  <c r="D240" i="63"/>
  <c r="A242" i="63"/>
  <c r="A149" i="63"/>
  <c r="C149" i="63"/>
  <c r="C209" i="63"/>
  <c r="C116" i="63"/>
  <c r="C177" i="63"/>
  <c r="C366" i="63"/>
  <c r="C304" i="63"/>
  <c r="C273" i="63"/>
  <c r="C397" i="63"/>
  <c r="C335" i="63"/>
  <c r="C241"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17" i="63"/>
  <c r="C210" i="63"/>
  <c r="C178" i="63"/>
  <c r="C150" i="63"/>
  <c r="C336" i="63"/>
  <c r="C305" i="63"/>
  <c r="C398" i="63"/>
  <c r="C274" i="63"/>
  <c r="C367" i="63"/>
  <c r="C242"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211" i="63"/>
  <c r="C151" i="63"/>
  <c r="C368" i="63"/>
  <c r="C118" i="63"/>
  <c r="C243" i="63"/>
  <c r="C275" i="63"/>
  <c r="C337" i="63"/>
  <c r="C306" i="63"/>
  <c r="C399" i="63"/>
  <c r="C179"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180" i="63"/>
  <c r="C152" i="63"/>
  <c r="C244" i="63"/>
  <c r="C276" i="63"/>
  <c r="C212" i="63"/>
  <c r="C119" i="63"/>
  <c r="C338" i="63"/>
  <c r="C307" i="63"/>
  <c r="C400" i="63"/>
  <c r="C369"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370" i="63"/>
  <c r="C120" i="63"/>
  <c r="C153" i="63"/>
  <c r="C181" i="63"/>
  <c r="C245" i="63"/>
  <c r="C401" i="63"/>
  <c r="C339" i="63"/>
  <c r="C308" i="63"/>
  <c r="C213" i="63"/>
  <c r="C277"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246" i="63"/>
  <c r="C278" i="63"/>
  <c r="C371" i="63"/>
  <c r="C182" i="63"/>
  <c r="C154" i="63"/>
  <c r="C340" i="63"/>
  <c r="C309" i="63"/>
  <c r="C402" i="63"/>
  <c r="C214" i="63"/>
  <c r="C121"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403" i="63"/>
  <c r="C183" i="63"/>
  <c r="C215" i="63"/>
  <c r="C279" i="63"/>
  <c r="C155" i="63"/>
  <c r="C247" i="63"/>
  <c r="C341" i="63"/>
  <c r="C122" i="63"/>
  <c r="C372" i="63"/>
  <c r="C310"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404" i="63"/>
  <c r="C373" i="63"/>
  <c r="C311" i="63"/>
  <c r="C248" i="63"/>
  <c r="C156" i="63"/>
  <c r="C184" i="63"/>
  <c r="C123" i="63"/>
  <c r="C216" i="63"/>
  <c r="C280" i="63"/>
  <c r="C342"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157" i="63"/>
  <c r="C217" i="63"/>
  <c r="C185" i="63"/>
  <c r="C124" i="63"/>
  <c r="C281" i="63"/>
  <c r="C312" i="63"/>
  <c r="C343" i="63"/>
  <c r="C249" i="63"/>
  <c r="C374" i="63"/>
  <c r="C405"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82" i="63"/>
  <c r="C375" i="63"/>
  <c r="C313" i="63"/>
  <c r="C218" i="63"/>
  <c r="C344" i="63"/>
  <c r="C186" i="63"/>
  <c r="C406" i="63"/>
  <c r="C125" i="63"/>
  <c r="C250" i="63"/>
  <c r="C158" i="63"/>
  <c r="D186" i="63" l="1"/>
  <c r="D125" i="63"/>
  <c r="D218" i="63"/>
  <c r="A220" i="63"/>
  <c r="A188" i="63"/>
  <c r="A127" i="63"/>
  <c r="D406" i="63"/>
  <c r="D313" i="63"/>
  <c r="D344" i="63"/>
  <c r="D282" i="63"/>
  <c r="D158" i="63"/>
  <c r="D375" i="63"/>
  <c r="A407" i="63"/>
  <c r="A314" i="63"/>
  <c r="A345" i="63"/>
  <c r="A283" i="63"/>
  <c r="A376" i="63"/>
  <c r="D250" i="63"/>
  <c r="A252" i="63"/>
  <c r="A159" i="63"/>
  <c r="C126" i="63"/>
  <c r="C219" i="63"/>
  <c r="C159" i="63"/>
  <c r="C407" i="63"/>
  <c r="C283" i="63"/>
  <c r="C345" i="63"/>
  <c r="C251" i="63"/>
  <c r="C187" i="63"/>
  <c r="C376" i="63"/>
  <c r="C314" i="63"/>
  <c r="D219" i="63" l="1"/>
  <c r="D126" i="63"/>
  <c r="D187" i="63"/>
  <c r="A221" i="63"/>
  <c r="A128" i="63"/>
  <c r="A189" i="63"/>
  <c r="D407" i="63"/>
  <c r="D314" i="63"/>
  <c r="D159" i="63"/>
  <c r="D376" i="63"/>
  <c r="D283" i="63"/>
  <c r="D345" i="63"/>
  <c r="A408" i="63"/>
  <c r="A315" i="63"/>
  <c r="A377" i="63"/>
  <c r="A284" i="63"/>
  <c r="A346" i="63"/>
  <c r="D251" i="63"/>
  <c r="A253" i="63"/>
  <c r="A160" i="63"/>
  <c r="C346" i="63"/>
  <c r="C315" i="63"/>
  <c r="C127" i="63"/>
  <c r="C408" i="63"/>
  <c r="C252" i="63"/>
  <c r="C284" i="63"/>
  <c r="C377" i="63"/>
  <c r="C160" i="63"/>
  <c r="C188" i="63"/>
  <c r="C220" i="63"/>
  <c r="D188" i="63" l="1"/>
  <c r="D127" i="63"/>
  <c r="D220" i="63"/>
  <c r="A129" i="63"/>
  <c r="A222" i="63"/>
  <c r="A190" i="63"/>
  <c r="D346" i="63"/>
  <c r="D284" i="63"/>
  <c r="D315" i="63"/>
  <c r="D408" i="63"/>
  <c r="D160" i="63"/>
  <c r="D377" i="63"/>
  <c r="A347" i="63"/>
  <c r="A285" i="63"/>
  <c r="A316" i="63"/>
  <c r="A409" i="63"/>
  <c r="A378" i="63"/>
  <c r="D252" i="63"/>
  <c r="A254" i="63"/>
  <c r="A161" i="63"/>
  <c r="C285" i="63"/>
  <c r="C253" i="63"/>
  <c r="C316" i="63"/>
  <c r="C189" i="63"/>
  <c r="C221" i="63"/>
  <c r="C128" i="63"/>
  <c r="C347" i="63"/>
  <c r="C409" i="63"/>
  <c r="C378" i="63"/>
  <c r="C161" i="63"/>
  <c r="D189" i="63" l="1"/>
  <c r="D221" i="63"/>
  <c r="D128" i="63"/>
  <c r="A223" i="63"/>
  <c r="A130" i="63"/>
  <c r="A191" i="63"/>
  <c r="D347" i="63"/>
  <c r="D285" i="63"/>
  <c r="D316" i="63"/>
  <c r="D161" i="63"/>
  <c r="D378" i="63"/>
  <c r="D409" i="63"/>
  <c r="A348" i="63"/>
  <c r="A286" i="63"/>
  <c r="A317" i="63"/>
  <c r="A379" i="63"/>
  <c r="A410" i="63"/>
  <c r="D253" i="63"/>
  <c r="A255" i="63"/>
  <c r="A162" i="63"/>
  <c r="C222" i="63"/>
  <c r="C317" i="63"/>
  <c r="C162" i="63"/>
  <c r="C190" i="63"/>
  <c r="C348" i="63"/>
  <c r="C379" i="63"/>
  <c r="C410" i="63"/>
  <c r="C254" i="63"/>
  <c r="C129" i="63"/>
  <c r="C286"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411" i="63"/>
  <c r="C318" i="63"/>
  <c r="C380" i="63"/>
  <c r="C131" i="63"/>
  <c r="C287" i="63"/>
  <c r="C130" i="63"/>
  <c r="C191" i="63"/>
  <c r="C349" i="63"/>
  <c r="C223" i="63"/>
  <c r="C255" i="63"/>
  <c r="C163"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350" i="63"/>
  <c r="C319" i="63"/>
  <c r="C412" i="63"/>
  <c r="C288" i="63"/>
  <c r="C224" i="63"/>
  <c r="C192" i="63"/>
  <c r="C381" i="63"/>
  <c r="C256"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351" i="63"/>
  <c r="C289" i="63"/>
  <c r="C193" i="63"/>
  <c r="C257" i="63"/>
  <c r="C225" i="63"/>
  <c r="C413" i="63"/>
  <c r="C320" i="63"/>
  <c r="C382"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227" i="63"/>
  <c r="C290" i="63"/>
  <c r="C414" i="63"/>
  <c r="C321" i="63"/>
  <c r="C195" i="63"/>
  <c r="C258" i="63"/>
  <c r="C383" i="63"/>
  <c r="C194" i="63"/>
  <c r="C226" i="63"/>
  <c r="C352" i="63"/>
  <c r="AP41" i="39" l="1"/>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53" i="63"/>
  <c r="C415" i="63"/>
  <c r="C291" i="63"/>
  <c r="C259" i="63"/>
  <c r="C384" i="63"/>
  <c r="C322" i="63"/>
  <c r="AP48" i="39" l="1"/>
  <c r="AD70" i="39" s="1"/>
  <c r="Z19" i="39"/>
  <c r="AP39" i="39"/>
  <c r="AP40" i="39"/>
  <c r="AV40" i="39" s="1"/>
  <c r="Z20" i="39"/>
  <c r="AP13" i="39"/>
  <c r="AU13" i="39" s="1"/>
  <c r="AP57" i="39"/>
  <c r="AP59" i="39"/>
  <c r="AP60" i="39"/>
  <c r="AU60" i="39" s="1"/>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V32" i="39"/>
  <c r="AT32" i="39"/>
  <c r="AS32" i="39"/>
  <c r="AB69" i="39"/>
  <c r="AB71" i="39"/>
  <c r="AB68" i="39"/>
  <c r="AU33" i="39"/>
  <c r="AU30" i="39"/>
  <c r="AB70" i="39"/>
  <c r="AU31" i="39"/>
  <c r="AA70" i="39"/>
  <c r="AT21" i="39"/>
  <c r="AA71" i="39"/>
  <c r="AA68" i="39"/>
  <c r="AV21" i="39"/>
  <c r="AA69" i="39"/>
  <c r="AU21" i="39"/>
  <c r="AV13" i="39"/>
  <c r="AV12" i="39"/>
  <c r="AU12" i="39"/>
  <c r="AS15" i="39"/>
  <c r="AS14" i="39"/>
  <c r="AS67" i="39"/>
  <c r="AT68" i="39"/>
  <c r="AU67" i="39"/>
  <c r="AT69" i="39"/>
  <c r="AV67" i="39"/>
  <c r="AS68" i="39"/>
  <c r="AF68" i="39"/>
  <c r="AV66" i="39"/>
  <c r="AS69" i="39"/>
  <c r="AF69" i="39"/>
  <c r="AU66" i="39"/>
  <c r="AF71" i="39"/>
  <c r="AT66" i="39"/>
  <c r="AF70" i="39"/>
  <c r="M71" i="29"/>
  <c r="C323" i="63"/>
  <c r="C416" i="63"/>
  <c r="C385" i="63"/>
  <c r="C354" i="63"/>
  <c r="AU48" i="39" l="1"/>
  <c r="AT39" i="39"/>
  <c r="Z70" i="39"/>
  <c r="AT15" i="39"/>
  <c r="AT14" i="39"/>
  <c r="AW14" i="39" s="1"/>
  <c r="Z68" i="39"/>
  <c r="Z69" i="39"/>
  <c r="AT12" i="39"/>
  <c r="AX12" i="39" s="1"/>
  <c r="Z71" i="39"/>
  <c r="AB40" i="34"/>
  <c r="AS40" i="39"/>
  <c r="AS13" i="39"/>
  <c r="AX13"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V41" i="39"/>
  <c r="AT41" i="39"/>
  <c r="AS41" i="39"/>
  <c r="AU42" i="39"/>
  <c r="AT42" i="39"/>
  <c r="AS42" i="39"/>
  <c r="AW33" i="39"/>
  <c r="AX32" i="39"/>
  <c r="AW32" i="39"/>
  <c r="AY30" i="39"/>
  <c r="AY32" i="39"/>
  <c r="AX21" i="39"/>
  <c r="AY22" i="39"/>
  <c r="AW21" i="39"/>
  <c r="AW23" i="39"/>
  <c r="AW24" i="39"/>
  <c r="AX15" i="39"/>
  <c r="AW15" i="39"/>
  <c r="AY14" i="39"/>
  <c r="AW68" i="39"/>
  <c r="AX68" i="39"/>
  <c r="AX66" i="39"/>
  <c r="AW66" i="39"/>
  <c r="AY67" i="39"/>
  <c r="AY68" i="39"/>
  <c r="AX69" i="39"/>
  <c r="AW69" i="39"/>
  <c r="AY69" i="39"/>
  <c r="AY66" i="39"/>
  <c r="AX67" i="39"/>
  <c r="AW67" i="39"/>
  <c r="Y63" i="34"/>
  <c r="O48" i="46"/>
  <c r="H52" i="46" s="1"/>
  <c r="R62" i="25"/>
  <c r="S65" i="25" s="1"/>
  <c r="M86" i="41"/>
  <c r="V72" i="39"/>
  <c r="C355" i="63"/>
  <c r="C417" i="63"/>
  <c r="C386" i="63"/>
  <c r="AX40" i="39" l="1"/>
  <c r="AY13" i="39"/>
  <c r="AY12" i="39"/>
  <c r="AX14" i="39"/>
  <c r="AW13" i="39"/>
  <c r="AW12"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16" i="60"/>
  <c r="B7" i="60"/>
  <c r="B30" i="60"/>
  <c r="B41" i="60"/>
  <c r="B47" i="60"/>
  <c r="B46" i="60"/>
  <c r="B28" i="60"/>
  <c r="B10" i="60"/>
  <c r="B27" i="60"/>
  <c r="B56" i="60"/>
  <c r="B49" i="60"/>
  <c r="B32" i="60"/>
  <c r="B51" i="60"/>
  <c r="B52" i="60"/>
  <c r="B39" i="60"/>
  <c r="B17" i="60"/>
  <c r="B6" i="60"/>
  <c r="B25" i="60"/>
  <c r="B50" i="60"/>
  <c r="B37" i="60"/>
  <c r="B55" i="60"/>
  <c r="B33" i="60"/>
  <c r="B18" i="60"/>
  <c r="B44" i="60"/>
  <c r="B24" i="60"/>
  <c r="B19" i="60"/>
  <c r="B45" i="60"/>
  <c r="B31" i="60"/>
  <c r="B20" i="60"/>
  <c r="B26" i="60"/>
  <c r="B42" i="60"/>
  <c r="B29" i="60"/>
  <c r="B48" i="60"/>
  <c r="B21" i="60"/>
  <c r="B53" i="60"/>
  <c r="B22" i="60"/>
  <c r="B54" i="60"/>
  <c r="B9" i="60"/>
  <c r="B15" i="60"/>
  <c r="B43" i="60"/>
  <c r="B40" i="60"/>
  <c r="B36" i="60"/>
  <c r="B23" i="60"/>
  <c r="B8" i="60"/>
  <c r="B38" i="60"/>
  <c r="U2" i="64" l="1"/>
  <c r="C1" i="62"/>
  <c r="C2" i="62" s="1"/>
  <c r="C1" i="63"/>
  <c r="C2" i="63" s="1"/>
  <c r="C1" i="61"/>
  <c r="D13" i="64" l="1"/>
  <c r="T10" i="64"/>
  <c r="T9" i="64"/>
  <c r="K44" i="38"/>
  <c r="V50" i="38" s="1"/>
  <c r="D44" i="38"/>
  <c r="V45" i="38" s="1"/>
  <c r="V48" i="38" s="1"/>
  <c r="C2" i="61"/>
  <c r="Q72" i="25"/>
  <c r="B155" i="61"/>
  <c r="T8" i="64" a="1"/>
  <c r="T7" i="64" a="1"/>
  <c r="I133" i="46" l="1"/>
  <c r="T8" i="64"/>
  <c r="T7" i="64"/>
  <c r="V46" i="38"/>
  <c r="V47" i="38"/>
  <c r="V49" i="38"/>
  <c r="AA49" i="38" s="1"/>
  <c r="X45" i="38"/>
  <c r="V54" i="38"/>
  <c r="U54" i="38" s="1"/>
  <c r="V53" i="38"/>
  <c r="AA53" i="38" s="1"/>
  <c r="V52" i="38"/>
  <c r="V51" i="38"/>
  <c r="T2" i="46"/>
  <c r="D69" i="29"/>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B149" i="62"/>
  <c r="B15" i="63"/>
  <c r="B115" i="61"/>
  <c r="B128" i="62"/>
  <c r="B66" i="61"/>
  <c r="B253" i="62"/>
  <c r="B175" i="61"/>
  <c r="B227" i="62"/>
  <c r="B35" i="62"/>
  <c r="B47" i="62"/>
  <c r="B76" i="61"/>
  <c r="B93" i="61"/>
  <c r="B77" i="63"/>
  <c r="B185" i="61"/>
  <c r="B35" i="63"/>
  <c r="B173" i="61"/>
  <c r="B84" i="61"/>
  <c r="B12" i="61"/>
  <c r="B52" i="63"/>
  <c r="B169" i="61"/>
  <c r="B31" i="62"/>
  <c r="B126" i="61"/>
  <c r="B37" i="63"/>
  <c r="B129" i="62"/>
  <c r="B41" i="63"/>
  <c r="B20" i="61"/>
  <c r="B71" i="63"/>
  <c r="B42" i="63"/>
  <c r="B240" i="62"/>
  <c r="B135" i="61"/>
  <c r="B63" i="61"/>
  <c r="B36" i="62"/>
  <c r="B69" i="62"/>
  <c r="B86" i="62"/>
  <c r="B75" i="63"/>
  <c r="B67" i="62"/>
  <c r="B46" i="62"/>
  <c r="B119" i="61"/>
  <c r="B84" i="62"/>
  <c r="B25" i="62"/>
  <c r="B58" i="63"/>
  <c r="B23" i="63"/>
  <c r="B72" i="63"/>
  <c r="B166" i="62"/>
  <c r="B25" i="61"/>
  <c r="B97" i="61"/>
  <c r="B183" i="61"/>
  <c r="B75" i="62"/>
  <c r="B165" i="62"/>
  <c r="B127" i="61"/>
  <c r="B131" i="61"/>
  <c r="B250" i="62"/>
  <c r="B231" i="62"/>
  <c r="B167" i="62"/>
  <c r="B190" i="62"/>
  <c r="B88" i="62"/>
  <c r="B8" i="63"/>
  <c r="B27" i="61"/>
  <c r="B40" i="63"/>
  <c r="B65" i="61"/>
  <c r="B183" i="62"/>
  <c r="B125" i="61"/>
  <c r="B174" i="61"/>
  <c r="B117" i="61"/>
  <c r="B176" i="61"/>
  <c r="B70" i="63"/>
  <c r="B80" i="62"/>
  <c r="B10" i="61"/>
  <c r="B112" i="61"/>
  <c r="B241" i="62"/>
  <c r="B74" i="63"/>
  <c r="B188" i="61"/>
  <c r="B267" i="62"/>
  <c r="B134" i="62"/>
  <c r="B85" i="62"/>
  <c r="B91" i="61"/>
  <c r="B203" i="62"/>
  <c r="B141" i="61"/>
  <c r="B29" i="62"/>
  <c r="B224" i="62"/>
  <c r="B189" i="61"/>
  <c r="B137" i="61"/>
  <c r="B6" i="61"/>
  <c r="B63" i="63"/>
  <c r="B118" i="61"/>
  <c r="B136" i="62"/>
  <c r="B196" i="62"/>
  <c r="B237" i="62"/>
  <c r="B249" i="62"/>
  <c r="B76" i="63"/>
  <c r="B67" i="61"/>
  <c r="B254" i="62"/>
  <c r="B57" i="62"/>
  <c r="B132" i="61"/>
  <c r="B201" i="62"/>
  <c r="B53" i="62"/>
  <c r="B32" i="63"/>
  <c r="B177" i="61"/>
  <c r="B23" i="62"/>
  <c r="B181" i="62"/>
  <c r="B78" i="63"/>
  <c r="B153" i="61"/>
  <c r="B135" i="62"/>
  <c r="B27" i="62"/>
  <c r="B171" i="62"/>
  <c r="B120" i="61"/>
  <c r="B74" i="62"/>
  <c r="B87" i="61"/>
  <c r="B53" i="63"/>
  <c r="B138" i="61"/>
  <c r="B45" i="62"/>
  <c r="B69" i="61"/>
  <c r="B239" i="62"/>
  <c r="B151" i="62"/>
  <c r="B10" i="62"/>
  <c r="B33" i="62"/>
  <c r="B64" i="63"/>
  <c r="B65" i="62"/>
  <c r="B115" i="62"/>
  <c r="B14" i="62"/>
  <c r="B244" i="62"/>
  <c r="B93" i="62"/>
  <c r="B143" i="62"/>
  <c r="B269" i="62"/>
  <c r="B68" i="61"/>
  <c r="B175" i="62"/>
  <c r="B74" i="61"/>
  <c r="B101" i="62"/>
  <c r="B58" i="61"/>
  <c r="B193" i="62"/>
  <c r="B92" i="62"/>
  <c r="B17" i="63"/>
  <c r="B100" i="61"/>
  <c r="B9" i="61"/>
  <c r="B43" i="61"/>
  <c r="B138" i="62"/>
  <c r="B7" i="61"/>
  <c r="B192" i="61"/>
  <c r="B60" i="61"/>
  <c r="B97" i="62"/>
  <c r="B15" i="61"/>
  <c r="B24" i="62"/>
  <c r="B212" i="62"/>
  <c r="B61" i="62"/>
  <c r="B163" i="61"/>
  <c r="B264" i="62"/>
  <c r="B197" i="62"/>
  <c r="B160" i="62"/>
  <c r="B57" i="61"/>
  <c r="B14" i="61"/>
  <c r="B80" i="61"/>
  <c r="B151" i="61"/>
  <c r="B161" i="61"/>
  <c r="B6" i="63"/>
  <c r="B25" i="63"/>
  <c r="B221" i="62"/>
  <c r="B31" i="63"/>
  <c r="B148" i="62"/>
  <c r="B243" i="62"/>
  <c r="B131" i="62"/>
  <c r="B153" i="62"/>
  <c r="B180" i="62"/>
  <c r="B142" i="62"/>
  <c r="B124" i="62"/>
  <c r="B215" i="62"/>
  <c r="B109" i="62"/>
  <c r="B170" i="62"/>
  <c r="B90" i="62"/>
  <c r="B64" i="62"/>
  <c r="B190" i="61"/>
  <c r="B163" i="62"/>
  <c r="B7" i="62"/>
  <c r="B20" i="63"/>
  <c r="B82" i="63"/>
  <c r="B156" i="62"/>
  <c r="B193" i="61"/>
  <c r="B211" i="62"/>
  <c r="B128" i="61"/>
  <c r="B132" i="62"/>
  <c r="B145" i="61"/>
  <c r="B259" i="62"/>
  <c r="B112" i="62"/>
  <c r="B198" i="62"/>
  <c r="B95" i="62"/>
  <c r="B75" i="61"/>
  <c r="B110" i="61"/>
  <c r="B45" i="61"/>
  <c r="B89" i="62"/>
  <c r="B44" i="63"/>
  <c r="B140" i="61"/>
  <c r="B204" i="62"/>
  <c r="B245" i="62"/>
  <c r="B136" i="61"/>
  <c r="B56" i="63"/>
  <c r="B54" i="61"/>
  <c r="B65" i="63"/>
  <c r="B101" i="61"/>
  <c r="B60" i="62"/>
  <c r="B89" i="61"/>
  <c r="B34" i="63"/>
  <c r="B168" i="62"/>
  <c r="B258" i="62"/>
  <c r="B16" i="63"/>
  <c r="B179" i="62"/>
  <c r="B38" i="61"/>
  <c r="B120" i="62"/>
  <c r="B114" i="62"/>
  <c r="B270" i="62"/>
  <c r="B162" i="61"/>
  <c r="B57" i="63"/>
  <c r="B98" i="61"/>
  <c r="B56" i="62"/>
  <c r="B170" i="61"/>
  <c r="B150" i="62"/>
  <c r="B187" i="61"/>
  <c r="B130" i="62"/>
  <c r="B51" i="63"/>
  <c r="B109" i="61"/>
  <c r="B46" i="61"/>
  <c r="B44" i="62"/>
  <c r="B182" i="61"/>
  <c r="B268" i="62"/>
  <c r="B130" i="61"/>
  <c r="B43" i="63"/>
  <c r="B33" i="63"/>
  <c r="B105" i="61"/>
  <c r="B24" i="61"/>
  <c r="B14" i="63"/>
  <c r="B62" i="62"/>
  <c r="B152" i="62"/>
  <c r="B232" i="62"/>
  <c r="B95" i="61"/>
  <c r="B56" i="61"/>
  <c r="B223" i="62"/>
  <c r="B48" i="63"/>
  <c r="B13" i="61"/>
  <c r="B9" i="62"/>
  <c r="B36" i="63"/>
  <c r="B114" i="61"/>
  <c r="B18" i="63"/>
  <c r="B127" i="62"/>
  <c r="B103" i="61"/>
  <c r="B110" i="62"/>
  <c r="B66" i="63"/>
  <c r="B218" i="62"/>
  <c r="B162" i="62"/>
  <c r="B100" i="62"/>
  <c r="B141" i="62"/>
  <c r="B11" i="63"/>
  <c r="B133" i="61"/>
  <c r="B139" i="61"/>
  <c r="B92" i="61"/>
  <c r="B111" i="61"/>
  <c r="B121" i="62"/>
  <c r="B104" i="62"/>
  <c r="B116" i="62"/>
  <c r="B207" i="62"/>
  <c r="B76" i="62"/>
  <c r="B54" i="63"/>
  <c r="B154" i="62"/>
  <c r="B152" i="61"/>
  <c r="B125" i="62"/>
  <c r="B261" i="62"/>
  <c r="B102" i="62"/>
  <c r="B174" i="62"/>
  <c r="B147" i="61"/>
  <c r="B87" i="62"/>
  <c r="B104" i="61"/>
  <c r="B164" i="61"/>
  <c r="B182" i="62"/>
  <c r="B184" i="61"/>
  <c r="B262" i="62"/>
  <c r="B82" i="62"/>
  <c r="B181" i="61"/>
  <c r="B29" i="61"/>
  <c r="B247" i="62"/>
  <c r="B206" i="62"/>
  <c r="B188" i="62"/>
  <c r="B106" i="61"/>
  <c r="B17" i="62"/>
  <c r="B37" i="61"/>
  <c r="B214" i="62"/>
  <c r="B119" i="62"/>
  <c r="B23" i="61"/>
  <c r="B55" i="62"/>
  <c r="B191" i="61"/>
  <c r="B22" i="63"/>
  <c r="B98" i="62"/>
  <c r="B13" i="63"/>
  <c r="B19" i="63"/>
  <c r="B18" i="61"/>
  <c r="B24" i="63"/>
  <c r="B45" i="63"/>
  <c r="B94" i="62"/>
  <c r="B238" i="62"/>
  <c r="B208" i="62"/>
  <c r="B140" i="62"/>
  <c r="B44" i="61"/>
  <c r="B51" i="62"/>
  <c r="B90" i="61"/>
  <c r="B173" i="62"/>
  <c r="B59" i="62"/>
  <c r="B200" i="62"/>
  <c r="B177" i="62"/>
  <c r="B82" i="61"/>
  <c r="B20" i="62"/>
  <c r="B22" i="61"/>
  <c r="B271" i="62"/>
  <c r="B265" i="62"/>
  <c r="B167" i="61"/>
  <c r="B107" i="62"/>
  <c r="B96" i="61"/>
  <c r="B72" i="62"/>
  <c r="B179" i="61"/>
  <c r="B77" i="62"/>
  <c r="B83" i="61"/>
  <c r="B216" i="62"/>
  <c r="B12" i="63"/>
  <c r="B41" i="62"/>
  <c r="B28" i="63"/>
  <c r="B60" i="63"/>
  <c r="B102" i="61"/>
  <c r="B71" i="62"/>
  <c r="B147" i="62"/>
  <c r="B7" i="63"/>
  <c r="B39" i="63"/>
  <c r="B36" i="61"/>
  <c r="B260" i="62"/>
  <c r="B219" i="62"/>
  <c r="B21" i="62"/>
  <c r="B169" i="62"/>
  <c r="B26" i="63"/>
  <c r="B30" i="62"/>
  <c r="B199" i="62"/>
  <c r="B70" i="61"/>
  <c r="B242" i="62"/>
  <c r="B8" i="62"/>
  <c r="B191" i="62"/>
  <c r="B62" i="61"/>
  <c r="B51" i="61"/>
  <c r="B205" i="62"/>
  <c r="B133" i="62"/>
  <c r="B35" i="61"/>
  <c r="B235" i="62"/>
  <c r="B146" i="62"/>
  <c r="B210" i="62"/>
  <c r="B160" i="61"/>
  <c r="B233" i="62"/>
  <c r="B59" i="63"/>
  <c r="B213" i="62"/>
  <c r="B195" i="61"/>
  <c r="B26" i="61"/>
  <c r="B79" i="63"/>
  <c r="B178" i="62"/>
  <c r="B73" i="63"/>
  <c r="B48" i="62"/>
  <c r="B209" i="62"/>
  <c r="B81" i="61"/>
  <c r="B229" i="62"/>
  <c r="B8" i="61"/>
  <c r="B116" i="61"/>
  <c r="B189" i="62"/>
  <c r="B22" i="62"/>
  <c r="B144" i="61"/>
  <c r="B217" i="62"/>
  <c r="B150" i="61"/>
  <c r="B186" i="62"/>
  <c r="B248" i="62"/>
  <c r="B21" i="63"/>
  <c r="B257" i="62"/>
  <c r="B9" i="63"/>
  <c r="B195" i="62"/>
  <c r="B117" i="62"/>
  <c r="B111" i="62"/>
  <c r="B202" i="62"/>
  <c r="B252" i="62"/>
  <c r="B194" i="61"/>
  <c r="B222" i="62"/>
  <c r="B142" i="61"/>
  <c r="B230" i="62"/>
  <c r="B106" i="62"/>
  <c r="B236" i="62"/>
  <c r="B55" i="61"/>
  <c r="B80" i="63"/>
  <c r="B78" i="62"/>
  <c r="B58" i="62"/>
  <c r="B186" i="61"/>
  <c r="B113" i="61"/>
  <c r="B11" i="61"/>
  <c r="B68" i="63"/>
  <c r="B105" i="62"/>
  <c r="B159" i="62"/>
  <c r="B134" i="61"/>
  <c r="B251" i="62"/>
  <c r="B180" i="61"/>
  <c r="B168" i="61"/>
  <c r="B28" i="62"/>
  <c r="B88" i="61"/>
  <c r="B246" i="62"/>
  <c r="B81" i="63"/>
  <c r="B12" i="62"/>
  <c r="B70" i="62"/>
  <c r="B118" i="62"/>
  <c r="B176" i="62"/>
  <c r="B64" i="61"/>
  <c r="B28" i="61"/>
  <c r="B228" i="62"/>
  <c r="B50" i="61"/>
  <c r="B146" i="61"/>
  <c r="B185" i="62"/>
  <c r="B68" i="62"/>
  <c r="B52" i="62"/>
  <c r="B38" i="63"/>
  <c r="B40" i="61"/>
  <c r="B16" i="61"/>
  <c r="B137" i="62"/>
  <c r="B96" i="62"/>
  <c r="B73" i="62"/>
  <c r="B94" i="61"/>
  <c r="B187" i="62"/>
  <c r="B17" i="61"/>
  <c r="B29" i="63"/>
  <c r="B266" i="62"/>
  <c r="B99" i="61"/>
  <c r="B73" i="61"/>
  <c r="B126" i="62"/>
  <c r="B10" i="63"/>
  <c r="B83" i="62"/>
  <c r="B39" i="61"/>
  <c r="B42" i="62"/>
  <c r="B194" i="62"/>
  <c r="B59" i="61"/>
  <c r="B55" i="63"/>
  <c r="B42" i="61"/>
  <c r="B184" i="62"/>
  <c r="B61" i="61"/>
  <c r="B103" i="62"/>
  <c r="B26" i="62"/>
  <c r="B27" i="63"/>
  <c r="B49" i="62"/>
  <c r="B164" i="62"/>
  <c r="B79" i="61"/>
  <c r="B226" i="62"/>
  <c r="B178" i="61"/>
  <c r="B41" i="61"/>
  <c r="B32" i="62"/>
  <c r="B91" i="62"/>
  <c r="B139" i="62"/>
  <c r="B6" i="62"/>
  <c r="B143" i="61"/>
  <c r="B11" i="62"/>
  <c r="B172" i="61"/>
  <c r="B34" i="62"/>
  <c r="B165" i="61"/>
  <c r="B172" i="62"/>
  <c r="B192" i="62"/>
  <c r="B263" i="62"/>
  <c r="B50" i="62"/>
  <c r="B256" i="62"/>
  <c r="B43" i="62"/>
  <c r="B129" i="61"/>
  <c r="B220" i="62"/>
  <c r="B67" i="63"/>
  <c r="B66" i="62"/>
  <c r="B49" i="61"/>
  <c r="B108" i="62"/>
  <c r="B122" i="62"/>
  <c r="B15" i="62"/>
  <c r="B61" i="63"/>
  <c r="B19" i="61"/>
  <c r="B69" i="63"/>
  <c r="B30" i="63"/>
  <c r="B16" i="62"/>
  <c r="B255" i="62"/>
  <c r="B62" i="63"/>
  <c r="B113" i="62"/>
  <c r="B54" i="62"/>
  <c r="B166" i="61"/>
  <c r="B155" i="62"/>
  <c r="B99" i="62"/>
  <c r="B21" i="61"/>
  <c r="B159" i="61"/>
  <c r="B171" i="61"/>
  <c r="B225" i="62"/>
  <c r="D14" i="29" l="1"/>
  <c r="R108" i="29"/>
  <c r="D94" i="46"/>
  <c r="B122" i="46" s="1"/>
  <c r="D14" i="39"/>
  <c r="Y90" i="25"/>
  <c r="AQ42" i="34" s="1"/>
  <c r="Y76" i="25"/>
  <c r="AE73" i="25" s="1"/>
  <c r="AG73" i="25" s="1"/>
  <c r="AB73" i="46"/>
  <c r="D50" i="34"/>
  <c r="AB74" i="46"/>
  <c r="M49" i="25"/>
  <c r="R113" i="29"/>
  <c r="D13" i="38"/>
  <c r="AC8" i="34"/>
  <c r="T11" i="38"/>
  <c r="R111" i="29"/>
  <c r="Y84" i="25"/>
  <c r="AE88" i="25" s="1"/>
  <c r="AG88" i="25" s="1"/>
  <c r="F126" i="63"/>
  <c r="S126" i="63" s="1"/>
  <c r="AA72" i="25"/>
  <c r="AQ78" i="34" s="1"/>
  <c r="F101" i="63"/>
  <c r="R101" i="63" s="1"/>
  <c r="F124" i="63"/>
  <c r="J124" i="63" s="1"/>
  <c r="F116" i="63"/>
  <c r="R116" i="63" s="1"/>
  <c r="F129" i="63"/>
  <c r="O129" i="63" s="1"/>
  <c r="F125" i="63"/>
  <c r="S125" i="63" s="1"/>
  <c r="F117" i="63"/>
  <c r="R117" i="63" s="1"/>
  <c r="AA85" i="25"/>
  <c r="AC85" i="25" s="1"/>
  <c r="AA74" i="25"/>
  <c r="F115" i="63"/>
  <c r="S115" i="63" s="1"/>
  <c r="F105" i="63"/>
  <c r="K105" i="63" s="1"/>
  <c r="F103" i="63"/>
  <c r="R103" i="63" s="1"/>
  <c r="F122" i="63"/>
  <c r="S122" i="63" s="1"/>
  <c r="F112" i="63"/>
  <c r="S112" i="63" s="1"/>
  <c r="F114" i="63"/>
  <c r="Q114" i="63" s="1"/>
  <c r="F113" i="63"/>
  <c r="O113" i="63" s="1"/>
  <c r="AA79" i="25"/>
  <c r="AC79" i="25" s="1"/>
  <c r="AA70" i="25"/>
  <c r="AQ76" i="34" s="1"/>
  <c r="AA94" i="25"/>
  <c r="AC94" i="25" s="1"/>
  <c r="AA98" i="25"/>
  <c r="AC98" i="25" s="1"/>
  <c r="F100" i="63"/>
  <c r="P100" i="63" s="1"/>
  <c r="F110" i="63"/>
  <c r="K110" i="63" s="1"/>
  <c r="F128" i="63"/>
  <c r="I128" i="63" s="1"/>
  <c r="AA95" i="25"/>
  <c r="AC95" i="25" s="1"/>
  <c r="AA93" i="25"/>
  <c r="AQ99" i="34" s="1"/>
  <c r="AA96" i="25"/>
  <c r="AQ102" i="34" s="1"/>
  <c r="AA82" i="25"/>
  <c r="AC82" i="25" s="1"/>
  <c r="F106" i="63"/>
  <c r="N106" i="63" s="1"/>
  <c r="AA84" i="25"/>
  <c r="AQ90" i="34" s="1"/>
  <c r="AA76" i="25"/>
  <c r="AC76" i="25" s="1"/>
  <c r="F123" i="63"/>
  <c r="S123" i="63" s="1"/>
  <c r="AA77" i="25"/>
  <c r="AQ83" i="34" s="1"/>
  <c r="AA92" i="25"/>
  <c r="AC92" i="25" s="1"/>
  <c r="AA91" i="25"/>
  <c r="AQ97" i="34" s="1"/>
  <c r="AA68" i="25"/>
  <c r="AQ74" i="34" s="1"/>
  <c r="AA69" i="25"/>
  <c r="AC69" i="25" s="1"/>
  <c r="F118" i="63"/>
  <c r="O118" i="63" s="1"/>
  <c r="AA80" i="25"/>
  <c r="AC80" i="25" s="1"/>
  <c r="AO83" i="34"/>
  <c r="F104" i="63"/>
  <c r="R104" i="63" s="1"/>
  <c r="AA71" i="25"/>
  <c r="AQ77" i="34" s="1"/>
  <c r="F120" i="63"/>
  <c r="O120" i="63" s="1"/>
  <c r="F111" i="63"/>
  <c r="H111" i="63" s="1"/>
  <c r="F130" i="63"/>
  <c r="R130" i="63" s="1"/>
  <c r="AA86" i="25"/>
  <c r="AC86" i="25" s="1"/>
  <c r="AA81" i="25"/>
  <c r="AC81" i="25" s="1"/>
  <c r="F102" i="63"/>
  <c r="G102" i="63" s="1"/>
  <c r="F119" i="63"/>
  <c r="O119" i="63" s="1"/>
  <c r="AA89" i="25"/>
  <c r="AC89" i="25" s="1"/>
  <c r="AA90" i="25"/>
  <c r="AQ96" i="34" s="1"/>
  <c r="F121" i="63"/>
  <c r="R121" i="63" s="1"/>
  <c r="AA83" i="25"/>
  <c r="AQ89" i="34" s="1"/>
  <c r="AA97" i="25"/>
  <c r="AC97" i="25" s="1"/>
  <c r="AZ82" i="39"/>
  <c r="AA78" i="25"/>
  <c r="AC78" i="25" s="1"/>
  <c r="AA75" i="25"/>
  <c r="AC75" i="25" s="1"/>
  <c r="AA73" i="25"/>
  <c r="AC73" i="25" s="1"/>
  <c r="F109" i="63"/>
  <c r="P109" i="63" s="1"/>
  <c r="F131" i="63"/>
  <c r="O131" i="63" s="1"/>
  <c r="AA67" i="25"/>
  <c r="AC67" i="25" s="1"/>
  <c r="F108" i="63"/>
  <c r="P108" i="63" s="1"/>
  <c r="AA87" i="25"/>
  <c r="AC87" i="25" s="1"/>
  <c r="F107" i="63"/>
  <c r="K107" i="63" s="1"/>
  <c r="AA88" i="25"/>
  <c r="AQ94" i="34" s="1"/>
  <c r="F127" i="63"/>
  <c r="K127" i="63" s="1"/>
  <c r="R116" i="29"/>
  <c r="D77" i="46"/>
  <c r="E31" i="34"/>
  <c r="O16" i="34"/>
  <c r="O14" i="34"/>
  <c r="O22" i="34"/>
  <c r="O28" i="34"/>
  <c r="G14" i="34"/>
  <c r="G22" i="34"/>
  <c r="D91" i="46"/>
  <c r="D38" i="46"/>
  <c r="D19" i="39"/>
  <c r="D105" i="46"/>
  <c r="D90" i="46"/>
  <c r="D88" i="46"/>
  <c r="D80" i="46"/>
  <c r="D9" i="39"/>
  <c r="D92" i="46"/>
  <c r="D73" i="46"/>
  <c r="R115" i="29"/>
  <c r="O18" i="34"/>
  <c r="O24" i="34"/>
  <c r="O26" i="34"/>
  <c r="O20" i="34"/>
  <c r="D72" i="46"/>
  <c r="G49" i="25"/>
  <c r="S13" i="64"/>
  <c r="Y86" i="25"/>
  <c r="AE90" i="25" s="1"/>
  <c r="AG90" i="25" s="1"/>
  <c r="D111" i="46"/>
  <c r="D71" i="46"/>
  <c r="AO9" i="38"/>
  <c r="AO56" i="38" s="1"/>
  <c r="D83" i="46"/>
  <c r="Y67" i="25"/>
  <c r="AQ14" i="34" s="1"/>
  <c r="Y71" i="25"/>
  <c r="AE74" i="25" s="1"/>
  <c r="AG74" i="25" s="1"/>
  <c r="AB77" i="46"/>
  <c r="AB72" i="46"/>
  <c r="D22" i="29"/>
  <c r="D96" i="46"/>
  <c r="N6" i="39"/>
  <c r="Y96" i="25"/>
  <c r="AQ50" i="34" s="1"/>
  <c r="D3" i="46"/>
  <c r="D36" i="46"/>
  <c r="Y85" i="25"/>
  <c r="D102" i="46"/>
  <c r="D44" i="34"/>
  <c r="L7" i="39"/>
  <c r="V7" i="39"/>
  <c r="Y70" i="25"/>
  <c r="AQ17" i="34" s="1"/>
  <c r="AB84" i="46"/>
  <c r="AB83" i="46"/>
  <c r="L9" i="34"/>
  <c r="D104" i="46"/>
  <c r="Y89" i="25"/>
  <c r="AQ41" i="34" s="1"/>
  <c r="D112" i="46"/>
  <c r="D110" i="46"/>
  <c r="AB81" i="46"/>
  <c r="Y75" i="25"/>
  <c r="AE87" i="25" s="1"/>
  <c r="AG87" i="25" s="1"/>
  <c r="S16" i="39"/>
  <c r="D101" i="46"/>
  <c r="D5" i="46"/>
  <c r="AL9" i="38"/>
  <c r="J49" i="25"/>
  <c r="R107" i="29"/>
  <c r="AC7" i="34"/>
  <c r="T10" i="38"/>
  <c r="Y83" i="25"/>
  <c r="AQ34" i="34" s="1"/>
  <c r="Y79" i="25"/>
  <c r="AQ29" i="34" s="1"/>
  <c r="D87" i="46"/>
  <c r="Y95" i="25"/>
  <c r="AE95" i="25" s="1"/>
  <c r="AG95" i="25" s="1"/>
  <c r="G52" i="34"/>
  <c r="O52" i="34"/>
  <c r="AB75" i="46"/>
  <c r="AB89" i="46"/>
  <c r="Y77" i="25"/>
  <c r="AQ26" i="34" s="1"/>
  <c r="D78" i="46"/>
  <c r="B120" i="46" s="1"/>
  <c r="D93" i="46"/>
  <c r="Y69" i="25"/>
  <c r="AQ16" i="34" s="1"/>
  <c r="M55" i="25"/>
  <c r="T9" i="38"/>
  <c r="S12" i="38"/>
  <c r="AC6" i="34"/>
  <c r="AB9" i="34"/>
  <c r="Y97" i="25"/>
  <c r="T53" i="38" s="1"/>
  <c r="D75" i="46"/>
  <c r="G46" i="34"/>
  <c r="O38" i="34"/>
  <c r="G40" i="34"/>
  <c r="O36" i="34"/>
  <c r="O40" i="34"/>
  <c r="O42" i="34"/>
  <c r="O46" i="34"/>
  <c r="G38" i="34"/>
  <c r="G42" i="34"/>
  <c r="G36" i="34"/>
  <c r="O48" i="34"/>
  <c r="O56" i="34"/>
  <c r="G56" i="34"/>
  <c r="G48" i="34"/>
  <c r="AP9" i="38"/>
  <c r="AP56" i="38" s="1"/>
  <c r="S14" i="39"/>
  <c r="D84" i="46"/>
  <c r="D114" i="46"/>
  <c r="AB128" i="46"/>
  <c r="D74" i="46"/>
  <c r="M55" i="64"/>
  <c r="M78" i="64"/>
  <c r="M50" i="64"/>
  <c r="M66" i="64"/>
  <c r="M15" i="64"/>
  <c r="M114" i="64"/>
  <c r="M30" i="64"/>
  <c r="M60" i="64"/>
  <c r="M72" i="64"/>
  <c r="M45" i="64"/>
  <c r="M90" i="64"/>
  <c r="M84" i="64"/>
  <c r="M25" i="64"/>
  <c r="M35" i="64"/>
  <c r="M120" i="64"/>
  <c r="M102" i="64"/>
  <c r="M20" i="64"/>
  <c r="M96" i="64"/>
  <c r="M40" i="64"/>
  <c r="M108" i="64"/>
  <c r="D89" i="46"/>
  <c r="J55" i="25"/>
  <c r="J57" i="25" s="1"/>
  <c r="D98" i="46"/>
  <c r="R129" i="46"/>
  <c r="R109" i="29"/>
  <c r="R114" i="29"/>
  <c r="D63" i="46"/>
  <c r="B118" i="46" s="1"/>
  <c r="G55" i="25"/>
  <c r="AB80" i="46"/>
  <c r="Y80" i="25"/>
  <c r="D33" i="34"/>
  <c r="D79" i="46"/>
  <c r="Y94" i="25"/>
  <c r="T49" i="38" s="1"/>
  <c r="E32" i="34"/>
  <c r="D76" i="46"/>
  <c r="D99" i="46"/>
  <c r="AQ9" i="38"/>
  <c r="AQ56" i="38" s="1"/>
  <c r="P55" i="25"/>
  <c r="P57" i="25" s="1"/>
  <c r="D7" i="64"/>
  <c r="D106" i="46"/>
  <c r="Y72" i="25"/>
  <c r="AQ20" i="34" s="1"/>
  <c r="F54" i="39"/>
  <c r="F51" i="34"/>
  <c r="F13" i="34"/>
  <c r="F45" i="34"/>
  <c r="F44" i="39"/>
  <c r="F35" i="34"/>
  <c r="F24" i="39"/>
  <c r="F34" i="39"/>
  <c r="F55" i="34"/>
  <c r="P24" i="39"/>
  <c r="P34" i="39"/>
  <c r="P44" i="39"/>
  <c r="D95" i="46"/>
  <c r="D108" i="46"/>
  <c r="B124" i="46" s="1"/>
  <c r="D97" i="46"/>
  <c r="U26" i="29"/>
  <c r="S26" i="29" s="1"/>
  <c r="R112" i="29"/>
  <c r="D103" i="46"/>
  <c r="D100" i="46"/>
  <c r="B123" i="46" s="1"/>
  <c r="K24" i="38"/>
  <c r="V30" i="38" s="1"/>
  <c r="AB30" i="38" s="1"/>
  <c r="AE30" i="38" s="1"/>
  <c r="AL31" i="38" s="1"/>
  <c r="AL35" i="38" s="1"/>
  <c r="AB50" i="38"/>
  <c r="AE50" i="38" s="1"/>
  <c r="AL51" i="38" s="1"/>
  <c r="D14" i="38"/>
  <c r="V15" i="38" s="1"/>
  <c r="AB15" i="38" s="1"/>
  <c r="AE15" i="38" s="1"/>
  <c r="AL16" i="38" s="1"/>
  <c r="AL20" i="38" s="1"/>
  <c r="D43" i="39"/>
  <c r="AD66" i="39" s="1"/>
  <c r="D23" i="39"/>
  <c r="Y23" i="39" s="1"/>
  <c r="K34" i="38"/>
  <c r="V40" i="38" s="1"/>
  <c r="AB40" i="38" s="1"/>
  <c r="AE40" i="38" s="1"/>
  <c r="AL41" i="38" s="1"/>
  <c r="AL45" i="38" s="1"/>
  <c r="N33" i="39"/>
  <c r="AJ37" i="39" s="1"/>
  <c r="AJ86" i="39" s="1"/>
  <c r="K14" i="38"/>
  <c r="V20" i="38" s="1"/>
  <c r="AB20" i="38" s="1"/>
  <c r="AE20" i="38" s="1"/>
  <c r="AL21" i="38" s="1"/>
  <c r="AL25" i="38" s="1"/>
  <c r="D53" i="39"/>
  <c r="Y53" i="39" s="1"/>
  <c r="D24" i="38"/>
  <c r="V25" i="38" s="1"/>
  <c r="AB25" i="38" s="1"/>
  <c r="AE25" i="38" s="1"/>
  <c r="AL26" i="38" s="1"/>
  <c r="AL30" i="38" s="1"/>
  <c r="D33" i="39"/>
  <c r="AG17" i="39" s="1"/>
  <c r="D34" i="38"/>
  <c r="V35" i="38" s="1"/>
  <c r="AB35" i="38" s="1"/>
  <c r="AC35" i="38" s="1"/>
  <c r="N43" i="39"/>
  <c r="AJ55" i="39" s="1"/>
  <c r="AJ88" i="39" s="1"/>
  <c r="AB45" i="38"/>
  <c r="AE45" i="38" s="1"/>
  <c r="AL46" i="38" s="1"/>
  <c r="AL50" i="38" s="1"/>
  <c r="N53" i="39"/>
  <c r="AB53" i="39" s="1"/>
  <c r="AK79" i="39" s="1"/>
  <c r="AG67" i="39" s="1"/>
  <c r="N23" i="39"/>
  <c r="AB23" i="39" s="1"/>
  <c r="D107" i="46"/>
  <c r="Y12" i="34"/>
  <c r="V22" i="39"/>
  <c r="Y73" i="25"/>
  <c r="AE80" i="25" s="1"/>
  <c r="AG80" i="25" s="1"/>
  <c r="G24" i="39"/>
  <c r="G34" i="39"/>
  <c r="G13" i="34"/>
  <c r="G45" i="34"/>
  <c r="G55" i="34"/>
  <c r="Q34" i="39"/>
  <c r="Q44" i="39"/>
  <c r="G35" i="34"/>
  <c r="G54" i="39"/>
  <c r="Q24" i="39"/>
  <c r="G44" i="39"/>
  <c r="G51" i="34"/>
  <c r="Q54" i="39"/>
  <c r="D5" i="34"/>
  <c r="Y87" i="25"/>
  <c r="AE89" i="25" s="1"/>
  <c r="AG89" i="25" s="1"/>
  <c r="Y68" i="25"/>
  <c r="AE86" i="25" s="1"/>
  <c r="AG86" i="25" s="1"/>
  <c r="G16" i="34"/>
  <c r="G20" i="34"/>
  <c r="G26" i="34"/>
  <c r="G18" i="34"/>
  <c r="G24" i="34"/>
  <c r="G28" i="34"/>
  <c r="E44" i="39"/>
  <c r="O54" i="39"/>
  <c r="E35" i="34"/>
  <c r="E55" i="34"/>
  <c r="E13" i="34"/>
  <c r="O34" i="39"/>
  <c r="O24" i="39"/>
  <c r="E24" i="39"/>
  <c r="E34" i="39"/>
  <c r="E51" i="34"/>
  <c r="E54" i="39"/>
  <c r="O44" i="39"/>
  <c r="E45" i="34"/>
  <c r="AB88" i="46"/>
  <c r="D5" i="64"/>
  <c r="D6" i="39"/>
  <c r="J44" i="39"/>
  <c r="W51" i="34"/>
  <c r="T44" i="39"/>
  <c r="T24" i="39"/>
  <c r="W45" i="34"/>
  <c r="J24" i="39"/>
  <c r="J34" i="39"/>
  <c r="W35" i="34"/>
  <c r="W55" i="34"/>
  <c r="T34" i="39"/>
  <c r="J54" i="39"/>
  <c r="W13" i="34"/>
  <c r="T54" i="39"/>
  <c r="Y91" i="25"/>
  <c r="AE91" i="25" s="1"/>
  <c r="AG91" i="25" s="1"/>
  <c r="D24" i="29"/>
  <c r="R105" i="29"/>
  <c r="R106" i="29"/>
  <c r="R110" i="29"/>
  <c r="P49" i="25"/>
  <c r="AB85" i="46"/>
  <c r="Y98" i="25"/>
  <c r="T54" i="38" s="1"/>
  <c r="Y78" i="25"/>
  <c r="AQ27" i="34" s="1"/>
  <c r="D86" i="46"/>
  <c r="B121" i="46" s="1"/>
  <c r="D81" i="46"/>
  <c r="S12" i="64"/>
  <c r="AB82" i="46"/>
  <c r="D85" i="46"/>
  <c r="Y74" i="25"/>
  <c r="D113" i="46"/>
  <c r="D54" i="34"/>
  <c r="D109" i="46"/>
  <c r="Y93" i="25"/>
  <c r="AB93" i="25" s="1"/>
  <c r="S15" i="39"/>
  <c r="D34" i="34"/>
  <c r="D70" i="46"/>
  <c r="B119" i="46" s="1"/>
  <c r="D82" i="46"/>
  <c r="Y88" i="25"/>
  <c r="AE77" i="25" s="1"/>
  <c r="AG77" i="25" s="1"/>
  <c r="Y92" i="25"/>
  <c r="AE92" i="25" s="1"/>
  <c r="AG92" i="25" s="1"/>
  <c r="G9" i="38"/>
  <c r="Y82" i="25"/>
  <c r="AE75" i="25" s="1"/>
  <c r="AG75" i="25" s="1"/>
  <c r="D5" i="38"/>
  <c r="Y81" i="25"/>
  <c r="AE68" i="25" s="1"/>
  <c r="AG68" i="25" s="1"/>
  <c r="D3" i="64"/>
  <c r="D3" i="38"/>
  <c r="D3" i="39"/>
  <c r="D3" i="34"/>
  <c r="L59" i="34"/>
  <c r="AB76" i="46"/>
  <c r="C2" i="64"/>
  <c r="D11" i="34"/>
  <c r="D11" i="39"/>
  <c r="D11" i="64"/>
  <c r="AA47" i="38"/>
  <c r="U47" i="38"/>
  <c r="U51" i="38"/>
  <c r="AA52" i="38"/>
  <c r="AA46" i="38"/>
  <c r="AA54" i="38"/>
  <c r="AG12" i="39"/>
  <c r="AG11" i="39"/>
  <c r="U49" i="38"/>
  <c r="U53" i="38"/>
  <c r="AA51" i="38"/>
  <c r="U52" i="38"/>
  <c r="U46" i="38"/>
  <c r="AO66" i="38"/>
  <c r="AQ66" i="38"/>
  <c r="AP66" i="38"/>
  <c r="AG35" i="39"/>
  <c r="AG24" i="39"/>
  <c r="AG25" i="39"/>
  <c r="AG36" i="39"/>
  <c r="L96" i="25"/>
  <c r="AC74" i="25"/>
  <c r="J101" i="63"/>
  <c r="G100" i="63"/>
  <c r="L101" i="63"/>
  <c r="K100" i="63"/>
  <c r="L100" i="63"/>
  <c r="H100" i="63"/>
  <c r="N100" i="63"/>
  <c r="Q100" i="63"/>
  <c r="J100" i="63"/>
  <c r="M101" i="63"/>
  <c r="R100" i="63"/>
  <c r="E92" i="25"/>
  <c r="M100" i="63"/>
  <c r="L92" i="25"/>
  <c r="O100" i="63"/>
  <c r="L93" i="25"/>
  <c r="L90" i="25"/>
  <c r="S100" i="63"/>
  <c r="AQ104" i="34"/>
  <c r="L114" i="63"/>
  <c r="I114" i="63"/>
  <c r="N114" i="63"/>
  <c r="P114" i="63"/>
  <c r="H114" i="63"/>
  <c r="S114" i="63"/>
  <c r="G114" i="63"/>
  <c r="K114" i="63"/>
  <c r="P112" i="63"/>
  <c r="L85" i="25"/>
  <c r="H112" i="63"/>
  <c r="K116" i="63"/>
  <c r="L91" i="25"/>
  <c r="J114" i="63"/>
  <c r="M114" i="63"/>
  <c r="O114" i="63"/>
  <c r="R112" i="63"/>
  <c r="R114" i="63"/>
  <c r="E88" i="25"/>
  <c r="E89" i="25"/>
  <c r="H124" i="63"/>
  <c r="L94" i="25"/>
  <c r="L105" i="63"/>
  <c r="E87" i="25"/>
  <c r="L121" i="63"/>
  <c r="G129" i="63"/>
  <c r="N130" i="63"/>
  <c r="AQ80" i="34"/>
  <c r="G124" i="63"/>
  <c r="H110" i="63"/>
  <c r="N110" i="63"/>
  <c r="AQ98" i="34"/>
  <c r="E94" i="25"/>
  <c r="L124" i="63"/>
  <c r="O124" i="63"/>
  <c r="E90" i="25"/>
  <c r="E93" i="25"/>
  <c r="E86" i="25"/>
  <c r="H105" i="63"/>
  <c r="K124" i="63"/>
  <c r="P107" i="63"/>
  <c r="P124" i="63"/>
  <c r="E85" i="25"/>
  <c r="G127" i="63"/>
  <c r="M124" i="63"/>
  <c r="Q107" i="63"/>
  <c r="R124" i="63"/>
  <c r="R128" i="63"/>
  <c r="E91" i="25"/>
  <c r="I124" i="63"/>
  <c r="N124" i="63"/>
  <c r="Q124" i="63"/>
  <c r="Q128" i="63"/>
  <c r="S124" i="63"/>
  <c r="AQ79" i="34"/>
  <c r="AQ88" i="34"/>
  <c r="K131" i="63"/>
  <c r="S104" i="63" l="1"/>
  <c r="I130" i="63"/>
  <c r="AQ86" i="34"/>
  <c r="G126" i="63"/>
  <c r="AQ35" i="34"/>
  <c r="P105" i="63"/>
  <c r="I129" i="63"/>
  <c r="G105" i="63"/>
  <c r="M119" i="63"/>
  <c r="J128" i="63"/>
  <c r="H131" i="63"/>
  <c r="AC84" i="25"/>
  <c r="G128" i="63"/>
  <c r="O127" i="63"/>
  <c r="H103" i="63"/>
  <c r="H129" i="63"/>
  <c r="AC70" i="25"/>
  <c r="R107" i="63"/>
  <c r="M107" i="63"/>
  <c r="G107" i="63"/>
  <c r="M121" i="63"/>
  <c r="G121" i="63"/>
  <c r="J107" i="63"/>
  <c r="L107" i="63"/>
  <c r="H121" i="63"/>
  <c r="L131" i="63"/>
  <c r="S128" i="63"/>
  <c r="P103" i="63"/>
  <c r="P130" i="63"/>
  <c r="AB77" i="25"/>
  <c r="H130" i="63"/>
  <c r="L130" i="63"/>
  <c r="AB85" i="25"/>
  <c r="V32" i="38"/>
  <c r="Y9" i="38" s="1"/>
  <c r="AK78" i="34" s="1"/>
  <c r="O112" i="63"/>
  <c r="I112" i="63"/>
  <c r="AQ81" i="34"/>
  <c r="Q101" i="63"/>
  <c r="P101" i="63"/>
  <c r="AC96" i="25"/>
  <c r="G130" i="63"/>
  <c r="AC77" i="25"/>
  <c r="AE72" i="25"/>
  <c r="AG72" i="25" s="1"/>
  <c r="AC90" i="25"/>
  <c r="AH58" i="39"/>
  <c r="AJ58" i="39" s="1"/>
  <c r="Q49" i="39" s="1"/>
  <c r="AH57" i="39"/>
  <c r="AE73" i="39" s="1"/>
  <c r="Q130" i="63"/>
  <c r="AB96" i="25"/>
  <c r="AQ91" i="34"/>
  <c r="AQ49" i="34"/>
  <c r="J130" i="63"/>
  <c r="K112" i="63"/>
  <c r="J112" i="63"/>
  <c r="M112" i="63"/>
  <c r="G112" i="63"/>
  <c r="S130" i="63"/>
  <c r="M130" i="63"/>
  <c r="AQ93" i="34"/>
  <c r="L112" i="63"/>
  <c r="Q112" i="63"/>
  <c r="O130" i="63"/>
  <c r="N112" i="63"/>
  <c r="S101" i="63"/>
  <c r="H101" i="63"/>
  <c r="N101" i="63"/>
  <c r="I101" i="63"/>
  <c r="K130" i="63"/>
  <c r="O101" i="63"/>
  <c r="K101" i="63"/>
  <c r="G101" i="63"/>
  <c r="S105" i="63"/>
  <c r="L129" i="63"/>
  <c r="N128" i="63"/>
  <c r="K128" i="63"/>
  <c r="S127" i="63"/>
  <c r="L127" i="63"/>
  <c r="R127" i="63"/>
  <c r="O128" i="63"/>
  <c r="H128" i="63"/>
  <c r="N131" i="63"/>
  <c r="I131" i="63"/>
  <c r="AC68" i="25"/>
  <c r="O104" i="63"/>
  <c r="P104" i="63"/>
  <c r="T51" i="38"/>
  <c r="AQ37" i="34"/>
  <c r="J115" i="63"/>
  <c r="AC83" i="25"/>
  <c r="J104" i="63"/>
  <c r="P113" i="63"/>
  <c r="L116" i="63"/>
  <c r="AE70" i="25"/>
  <c r="AG70" i="25" s="1"/>
  <c r="S106" i="63"/>
  <c r="AH42" i="39"/>
  <c r="AK42" i="39" s="1"/>
  <c r="P56" i="25"/>
  <c r="N121" i="63"/>
  <c r="S121" i="63"/>
  <c r="AB87" i="25"/>
  <c r="AQ92" i="34"/>
  <c r="AB82" i="25"/>
  <c r="H107" i="63"/>
  <c r="Q121" i="63"/>
  <c r="S107" i="63"/>
  <c r="P121" i="63"/>
  <c r="K121" i="63"/>
  <c r="T52" i="38"/>
  <c r="AC20" i="38"/>
  <c r="AE96" i="25"/>
  <c r="AG96" i="25" s="1"/>
  <c r="I107" i="63"/>
  <c r="O107" i="63"/>
  <c r="N107" i="63"/>
  <c r="J121" i="63"/>
  <c r="O121" i="63"/>
  <c r="AQ19" i="34"/>
  <c r="G119" i="63"/>
  <c r="N120" i="63"/>
  <c r="H126" i="63"/>
  <c r="Q125" i="63"/>
  <c r="N103" i="63"/>
  <c r="AE84" i="25"/>
  <c r="AG84" i="25" s="1"/>
  <c r="K103" i="63"/>
  <c r="AB95" i="25"/>
  <c r="G125" i="63"/>
  <c r="L120" i="63"/>
  <c r="H120" i="63"/>
  <c r="AQ101" i="34"/>
  <c r="AE71" i="25"/>
  <c r="AG71" i="25" s="1"/>
  <c r="M113" i="63"/>
  <c r="M104" i="63"/>
  <c r="G106" i="63"/>
  <c r="K109" i="63"/>
  <c r="N109" i="63"/>
  <c r="N113" i="63"/>
  <c r="M116" i="63"/>
  <c r="AQ87" i="34"/>
  <c r="AB70" i="25"/>
  <c r="AH41" i="39"/>
  <c r="AK41" i="39" s="1"/>
  <c r="AH60" i="39"/>
  <c r="AE74" i="39" s="1"/>
  <c r="AE78" i="39" s="1"/>
  <c r="AB43" i="38" s="1"/>
  <c r="AE66" i="39"/>
  <c r="AC66" i="39"/>
  <c r="AH39" i="39"/>
  <c r="AJ39" i="39" s="1"/>
  <c r="I121" i="63"/>
  <c r="AE83" i="25"/>
  <c r="AG83" i="25" s="1"/>
  <c r="K119" i="63"/>
  <c r="O125" i="63"/>
  <c r="G113" i="63"/>
  <c r="Q104" i="63"/>
  <c r="S110" i="63"/>
  <c r="H113" i="63"/>
  <c r="AC88" i="25"/>
  <c r="N104" i="63"/>
  <c r="I104" i="63"/>
  <c r="G104" i="63"/>
  <c r="L104" i="63"/>
  <c r="J106" i="63"/>
  <c r="Q116" i="63"/>
  <c r="O106" i="63"/>
  <c r="P106" i="63"/>
  <c r="S116" i="63"/>
  <c r="AC91" i="25"/>
  <c r="H115" i="63"/>
  <c r="Q115" i="63"/>
  <c r="R110" i="63"/>
  <c r="K113" i="63"/>
  <c r="I113" i="63"/>
  <c r="AG26" i="39"/>
  <c r="Q106" i="63"/>
  <c r="R106" i="63"/>
  <c r="N116" i="63"/>
  <c r="I106" i="63"/>
  <c r="O115" i="63"/>
  <c r="R115" i="63"/>
  <c r="M110" i="63"/>
  <c r="Q110" i="63"/>
  <c r="L113" i="63"/>
  <c r="G111" i="63"/>
  <c r="O110" i="63"/>
  <c r="J110" i="63"/>
  <c r="P110" i="63"/>
  <c r="J113" i="63"/>
  <c r="R113" i="63"/>
  <c r="K104" i="63"/>
  <c r="I103" i="63"/>
  <c r="I116" i="63"/>
  <c r="P126" i="63"/>
  <c r="H104" i="63"/>
  <c r="G110" i="63"/>
  <c r="AC45" i="38"/>
  <c r="AE69" i="25"/>
  <c r="AG69" i="25" s="1"/>
  <c r="AB86" i="25"/>
  <c r="Q109" i="63"/>
  <c r="K123" i="63"/>
  <c r="AQ25" i="34"/>
  <c r="AJ10" i="39"/>
  <c r="AH14" i="39" s="1"/>
  <c r="AK14" i="39" s="1"/>
  <c r="M122" i="63"/>
  <c r="R126" i="63"/>
  <c r="H119" i="63"/>
  <c r="Q105" i="63"/>
  <c r="S131" i="63"/>
  <c r="M103" i="63"/>
  <c r="AE82" i="25"/>
  <c r="AG82" i="25" s="1"/>
  <c r="S103" i="63"/>
  <c r="AB88" i="25"/>
  <c r="N129" i="63"/>
  <c r="P119" i="63"/>
  <c r="AB66" i="39"/>
  <c r="R129" i="63"/>
  <c r="H125" i="63"/>
  <c r="J125" i="63"/>
  <c r="AQ82" i="34"/>
  <c r="AQ75" i="34"/>
  <c r="J111" i="63"/>
  <c r="O122" i="63"/>
  <c r="G122" i="63"/>
  <c r="AQ36" i="34"/>
  <c r="Q103" i="63"/>
  <c r="O117" i="63"/>
  <c r="AG41" i="39"/>
  <c r="R105" i="63"/>
  <c r="N119" i="63"/>
  <c r="J119" i="63"/>
  <c r="S129" i="63"/>
  <c r="M117" i="63"/>
  <c r="P127" i="63"/>
  <c r="L119" i="63"/>
  <c r="O103" i="63"/>
  <c r="AQ39" i="34"/>
  <c r="M105" i="63"/>
  <c r="AG16" i="39"/>
  <c r="K126" i="63"/>
  <c r="I127" i="63"/>
  <c r="N123" i="63"/>
  <c r="M128" i="63"/>
  <c r="L103" i="63"/>
  <c r="P128" i="63"/>
  <c r="P122" i="63"/>
  <c r="L123" i="63"/>
  <c r="S120" i="63"/>
  <c r="O105" i="63"/>
  <c r="L128" i="63"/>
  <c r="J120" i="63"/>
  <c r="R120" i="63"/>
  <c r="I120" i="63"/>
  <c r="P131" i="63"/>
  <c r="H127" i="63"/>
  <c r="M129" i="63"/>
  <c r="J129" i="63"/>
  <c r="Q129" i="63"/>
  <c r="AB78" i="25"/>
  <c r="M126" i="63"/>
  <c r="I126" i="63"/>
  <c r="O126" i="63"/>
  <c r="R125" i="63"/>
  <c r="AB80" i="25"/>
  <c r="R111" i="63"/>
  <c r="R123" i="63"/>
  <c r="G120" i="63"/>
  <c r="Q111" i="63"/>
  <c r="Q123" i="63"/>
  <c r="I119" i="63"/>
  <c r="J103" i="63"/>
  <c r="P117" i="63"/>
  <c r="G103" i="63"/>
  <c r="S119" i="63"/>
  <c r="J105" i="63"/>
  <c r="R119" i="63"/>
  <c r="Q131" i="63"/>
  <c r="N105" i="63"/>
  <c r="M131" i="63"/>
  <c r="AB76" i="25"/>
  <c r="Q120" i="63"/>
  <c r="AQ85" i="34"/>
  <c r="K120" i="63"/>
  <c r="M125" i="63"/>
  <c r="L125" i="63"/>
  <c r="N102" i="63"/>
  <c r="N125" i="63"/>
  <c r="AQ73" i="34"/>
  <c r="AB90" i="25"/>
  <c r="AC71" i="25"/>
  <c r="Q127" i="63"/>
  <c r="J131" i="63"/>
  <c r="Q122" i="63"/>
  <c r="L122" i="63"/>
  <c r="J117" i="63"/>
  <c r="H122" i="63"/>
  <c r="AQ100" i="34"/>
  <c r="S111" i="63"/>
  <c r="K118" i="63"/>
  <c r="I122" i="63"/>
  <c r="N118" i="63"/>
  <c r="R122" i="63"/>
  <c r="I111" i="63"/>
  <c r="L117" i="63"/>
  <c r="K117" i="63"/>
  <c r="I117" i="63"/>
  <c r="H118" i="63"/>
  <c r="M51" i="25"/>
  <c r="N111" i="63"/>
  <c r="N117" i="63"/>
  <c r="S117" i="63"/>
  <c r="Q117" i="63"/>
  <c r="M123" i="63"/>
  <c r="P111" i="63"/>
  <c r="P123" i="63"/>
  <c r="G123" i="63"/>
  <c r="J122" i="63"/>
  <c r="M59" i="25"/>
  <c r="AE78" i="25"/>
  <c r="AG78" i="25" s="1"/>
  <c r="Y33" i="39"/>
  <c r="AG43" i="39"/>
  <c r="AG15" i="39"/>
  <c r="P118" i="63"/>
  <c r="P129" i="63"/>
  <c r="M102" i="63"/>
  <c r="J56" i="25"/>
  <c r="L118" i="63"/>
  <c r="K111" i="63"/>
  <c r="H123" i="63"/>
  <c r="X25" i="38"/>
  <c r="J58" i="25"/>
  <c r="M127" i="63"/>
  <c r="AQ95" i="34"/>
  <c r="K129" i="63"/>
  <c r="Q102" i="63"/>
  <c r="V28" i="38"/>
  <c r="T28" i="38" s="1"/>
  <c r="V27" i="38"/>
  <c r="AA27" i="38" s="1"/>
  <c r="J59" i="25"/>
  <c r="M118" i="63"/>
  <c r="AG50" i="39"/>
  <c r="N122" i="63"/>
  <c r="AG21" i="39"/>
  <c r="G117" i="63"/>
  <c r="M111" i="63"/>
  <c r="H117" i="63"/>
  <c r="L111" i="63"/>
  <c r="S118" i="63"/>
  <c r="K122" i="63"/>
  <c r="R118" i="63"/>
  <c r="V26" i="38"/>
  <c r="J127" i="63"/>
  <c r="N127" i="63"/>
  <c r="G131" i="63"/>
  <c r="I105" i="63"/>
  <c r="R131" i="63"/>
  <c r="AQ103" i="34"/>
  <c r="AB68" i="25"/>
  <c r="R102" i="63"/>
  <c r="H102" i="63"/>
  <c r="I102" i="63"/>
  <c r="L102" i="63"/>
  <c r="AH40" i="39"/>
  <c r="AC73" i="39" s="1"/>
  <c r="AB33" i="39"/>
  <c r="J123" i="63"/>
  <c r="I118" i="63"/>
  <c r="AQ31" i="34"/>
  <c r="AC25" i="38"/>
  <c r="AC72" i="25"/>
  <c r="V43" i="38"/>
  <c r="AA43" i="38" s="1"/>
  <c r="J118" i="63"/>
  <c r="V41" i="38"/>
  <c r="T41" i="38" s="1"/>
  <c r="V42" i="38"/>
  <c r="AA42" i="38" s="1"/>
  <c r="O111" i="63"/>
  <c r="O123" i="63"/>
  <c r="Q118" i="63"/>
  <c r="G118" i="63"/>
  <c r="V22" i="38"/>
  <c r="AA22" i="38" s="1"/>
  <c r="V24" i="38"/>
  <c r="AA24" i="38" s="1"/>
  <c r="AC50" i="38"/>
  <c r="AB71" i="25"/>
  <c r="AQ21" i="34"/>
  <c r="R109" i="63"/>
  <c r="AG19" i="39"/>
  <c r="AG22" i="39"/>
  <c r="J51" i="25"/>
  <c r="G53" i="25"/>
  <c r="P52" i="25"/>
  <c r="X35" i="38"/>
  <c r="AB89" i="25"/>
  <c r="V34" i="38"/>
  <c r="U34" i="38" s="1"/>
  <c r="AQ84" i="34"/>
  <c r="AB43" i="39"/>
  <c r="AB84" i="25"/>
  <c r="Q108" i="63"/>
  <c r="K108" i="63"/>
  <c r="V31" i="38"/>
  <c r="U31" i="38" s="1"/>
  <c r="AC30" i="38"/>
  <c r="M50" i="25"/>
  <c r="AE85" i="25"/>
  <c r="AG85" i="25" s="1"/>
  <c r="N108" i="63"/>
  <c r="M108" i="63"/>
  <c r="R108" i="63"/>
  <c r="G108" i="63"/>
  <c r="AC93" i="25"/>
  <c r="V37" i="38"/>
  <c r="AA37" i="38" s="1"/>
  <c r="J52" i="25"/>
  <c r="G50" i="25"/>
  <c r="P59" i="25"/>
  <c r="V23" i="38"/>
  <c r="AA23" i="38" s="1"/>
  <c r="V21" i="38"/>
  <c r="AB75" i="25"/>
  <c r="AC40" i="38"/>
  <c r="M56" i="25"/>
  <c r="I123" i="63"/>
  <c r="M52" i="25"/>
  <c r="S102" i="63"/>
  <c r="I100" i="63"/>
  <c r="K102" i="63"/>
  <c r="Z66" i="39"/>
  <c r="AQ32" i="34"/>
  <c r="AQ52" i="34"/>
  <c r="AB94" i="25"/>
  <c r="AB79" i="25"/>
  <c r="J53" i="25"/>
  <c r="G58" i="25"/>
  <c r="G57" i="25"/>
  <c r="S108" i="63"/>
  <c r="AB69" i="25"/>
  <c r="AG30" i="39"/>
  <c r="AG14" i="39"/>
  <c r="P58" i="25"/>
  <c r="S28" i="29"/>
  <c r="K125" i="63"/>
  <c r="P120" i="63"/>
  <c r="AE97" i="25"/>
  <c r="AG97" i="25" s="1"/>
  <c r="AG18" i="39"/>
  <c r="AG58" i="39"/>
  <c r="AB97" i="25"/>
  <c r="AG42" i="39"/>
  <c r="Q119" i="63"/>
  <c r="L126" i="63"/>
  <c r="J126" i="63"/>
  <c r="Q126" i="63"/>
  <c r="N126" i="63"/>
  <c r="I125" i="63"/>
  <c r="P125" i="63"/>
  <c r="M120" i="63"/>
  <c r="AG52" i="39"/>
  <c r="AG57" i="39"/>
  <c r="AG56" i="39"/>
  <c r="AG55" i="39"/>
  <c r="AE94" i="25"/>
  <c r="AG94" i="25" s="1"/>
  <c r="V17" i="38"/>
  <c r="G52" i="25"/>
  <c r="S109" i="63"/>
  <c r="G109" i="63"/>
  <c r="O109" i="63"/>
  <c r="I110" i="63"/>
  <c r="AE79" i="25"/>
  <c r="AG79" i="25" s="1"/>
  <c r="AQ51" i="34"/>
  <c r="V16" i="38"/>
  <c r="Y6" i="38" s="1"/>
  <c r="AG39" i="39"/>
  <c r="AG13" i="39"/>
  <c r="AG66" i="39"/>
  <c r="AG51" i="39"/>
  <c r="AG46" i="39"/>
  <c r="AG54" i="39"/>
  <c r="AG48" i="39"/>
  <c r="AG49" i="39"/>
  <c r="AQ47" i="34"/>
  <c r="X15" i="38"/>
  <c r="AB74" i="25"/>
  <c r="N115" i="63"/>
  <c r="L115" i="63"/>
  <c r="M115" i="63"/>
  <c r="P115" i="63"/>
  <c r="AG31" i="39"/>
  <c r="AJ64" i="39"/>
  <c r="AH69" i="39" s="1"/>
  <c r="AK69" i="39" s="1"/>
  <c r="AF66" i="39"/>
  <c r="AG45" i="39"/>
  <c r="AC15" i="38"/>
  <c r="S113" i="63"/>
  <c r="M106" i="63"/>
  <c r="J116" i="63"/>
  <c r="O116" i="63"/>
  <c r="G116" i="63"/>
  <c r="M109" i="63"/>
  <c r="L109" i="63"/>
  <c r="I115" i="63"/>
  <c r="L110" i="63"/>
  <c r="AJ73" i="39"/>
  <c r="AH77" i="39" s="1"/>
  <c r="AK77" i="39" s="1"/>
  <c r="AG33" i="39"/>
  <c r="AG40" i="39"/>
  <c r="P53" i="25"/>
  <c r="AG32" i="39"/>
  <c r="Q113" i="63"/>
  <c r="H106" i="63"/>
  <c r="H116" i="63"/>
  <c r="P116" i="63"/>
  <c r="L106" i="63"/>
  <c r="K106" i="63"/>
  <c r="AB81" i="25"/>
  <c r="S34" i="29"/>
  <c r="S40" i="29"/>
  <c r="G115" i="63"/>
  <c r="H109" i="63"/>
  <c r="J109" i="63"/>
  <c r="K115" i="63"/>
  <c r="I109" i="63"/>
  <c r="J50" i="25"/>
  <c r="AE67" i="25"/>
  <c r="AG67" i="25" s="1"/>
  <c r="AE76" i="25"/>
  <c r="AG76" i="25" s="1"/>
  <c r="G59" i="25"/>
  <c r="AB67" i="25"/>
  <c r="M53" i="25"/>
  <c r="AB72" i="25"/>
  <c r="AQ22" i="34"/>
  <c r="AG29" i="39"/>
  <c r="AG20" i="39"/>
  <c r="AG44" i="39"/>
  <c r="AG34" i="39"/>
  <c r="AG37" i="39"/>
  <c r="AJ46" i="39"/>
  <c r="AJ87" i="39" s="1"/>
  <c r="AK87" i="39" s="1"/>
  <c r="V19" i="38"/>
  <c r="T19" i="38" s="1"/>
  <c r="V18" i="38"/>
  <c r="T18" i="38" s="1"/>
  <c r="AH59" i="39"/>
  <c r="AU53" i="39" s="1"/>
  <c r="M58" i="25"/>
  <c r="AK86" i="39"/>
  <c r="AL86" i="39" s="1"/>
  <c r="AM86" i="39" s="1"/>
  <c r="AN86" i="39" s="1"/>
  <c r="AS86" i="39" s="1"/>
  <c r="Y43" i="39"/>
  <c r="O108" i="63"/>
  <c r="AA66" i="39"/>
  <c r="H108" i="63"/>
  <c r="O102" i="63"/>
  <c r="P102" i="63"/>
  <c r="J102" i="63"/>
  <c r="V29" i="38"/>
  <c r="T29" i="38" s="1"/>
  <c r="AG53" i="39"/>
  <c r="AB73" i="25"/>
  <c r="AG27" i="39"/>
  <c r="AQ40" i="34"/>
  <c r="AG38" i="39"/>
  <c r="AJ19" i="39"/>
  <c r="AH23" i="39" s="1"/>
  <c r="AK23" i="39" s="1"/>
  <c r="M57" i="25"/>
  <c r="I108" i="63"/>
  <c r="L108" i="63"/>
  <c r="J108" i="63"/>
  <c r="AG28" i="39"/>
  <c r="AK88" i="39"/>
  <c r="AL88" i="39" s="1"/>
  <c r="AM88" i="39" s="1"/>
  <c r="AN88" i="39" s="1"/>
  <c r="AS88" i="39" s="1"/>
  <c r="G51" i="25"/>
  <c r="AQ30" i="34"/>
  <c r="AB91" i="25"/>
  <c r="AB98" i="25"/>
  <c r="AE98" i="25"/>
  <c r="AG98" i="25" s="1"/>
  <c r="AQ45" i="34"/>
  <c r="AQ24" i="34"/>
  <c r="AQ15" i="34"/>
  <c r="P51" i="25"/>
  <c r="AG23" i="39"/>
  <c r="G56" i="25"/>
  <c r="AB83" i="25"/>
  <c r="AQ44" i="34"/>
  <c r="AQ46" i="34"/>
  <c r="AE81" i="25"/>
  <c r="AG81" i="25" s="1"/>
  <c r="V39" i="38"/>
  <c r="U39" i="38" s="1"/>
  <c r="V38" i="38"/>
  <c r="AA38" i="38" s="1"/>
  <c r="V36" i="38"/>
  <c r="Y11" i="38" s="1"/>
  <c r="V44" i="38"/>
  <c r="AA44" i="38" s="1"/>
  <c r="AE93" i="25"/>
  <c r="AG93" i="25" s="1"/>
  <c r="T46" i="38"/>
  <c r="V33" i="38"/>
  <c r="AA33" i="38" s="1"/>
  <c r="AE35" i="38"/>
  <c r="AL36" i="38" s="1"/>
  <c r="AL40" i="38" s="1"/>
  <c r="T47" i="38"/>
  <c r="T48" i="38"/>
  <c r="AB92" i="25"/>
  <c r="P50" i="25"/>
  <c r="AG47" i="39"/>
  <c r="AJ28" i="39"/>
  <c r="AH33" i="39" s="1"/>
  <c r="AV26" i="39" s="1"/>
  <c r="AH9" i="38"/>
  <c r="AL65" i="38" s="1"/>
  <c r="D13" i="25"/>
  <c r="J43" i="25" s="1"/>
  <c r="Y45" i="38"/>
  <c r="Z45" i="38"/>
  <c r="AC54" i="38"/>
  <c r="AC53" i="38"/>
  <c r="AK60" i="39" l="1"/>
  <c r="AJ60" i="39"/>
  <c r="Q50" i="39" s="1"/>
  <c r="AS53" i="39"/>
  <c r="AJ57" i="39"/>
  <c r="Q48" i="39" s="1"/>
  <c r="AC75" i="39"/>
  <c r="AC79" i="39" s="1"/>
  <c r="AB34" i="38" s="1"/>
  <c r="T32" i="38"/>
  <c r="AA32" i="38"/>
  <c r="U32" i="38"/>
  <c r="AK57" i="39"/>
  <c r="AJ41" i="39"/>
  <c r="Q36" i="39" s="1"/>
  <c r="AU35" i="39"/>
  <c r="AT53" i="39"/>
  <c r="AH15" i="39"/>
  <c r="AJ15" i="39" s="1"/>
  <c r="AV53" i="39"/>
  <c r="AK58" i="39"/>
  <c r="AE75" i="39"/>
  <c r="AE79" i="39" s="1"/>
  <c r="AB44" i="38" s="1"/>
  <c r="AC74" i="39"/>
  <c r="AC78" i="39" s="1"/>
  <c r="AB33" i="38" s="1"/>
  <c r="AV35" i="39"/>
  <c r="AC72" i="39"/>
  <c r="AC76" i="39" s="1"/>
  <c r="AB31" i="38" s="1"/>
  <c r="Y10" i="38"/>
  <c r="AK79" i="34" s="1"/>
  <c r="AJ42" i="39"/>
  <c r="S38" i="39" s="1"/>
  <c r="Z12" i="38"/>
  <c r="AL81" i="34" s="1"/>
  <c r="Z6" i="38"/>
  <c r="AL75" i="34" s="1"/>
  <c r="U43" i="38"/>
  <c r="AK39" i="39"/>
  <c r="Z9" i="38"/>
  <c r="AL78" i="34" s="1"/>
  <c r="Z7" i="38"/>
  <c r="AL76" i="34" s="1"/>
  <c r="Y12" i="38"/>
  <c r="AK81" i="34" s="1"/>
  <c r="AH12" i="39"/>
  <c r="AJ12" i="39" s="1"/>
  <c r="I29" i="39" s="1"/>
  <c r="AJ14" i="39"/>
  <c r="I30" i="39" s="1"/>
  <c r="AS35" i="39"/>
  <c r="Z11" i="38"/>
  <c r="AL80" i="34" s="1"/>
  <c r="Y7" i="38"/>
  <c r="AK76" i="34" s="1"/>
  <c r="U28" i="38"/>
  <c r="T26" i="38"/>
  <c r="Z5" i="38"/>
  <c r="AL74" i="34" s="1"/>
  <c r="Y8" i="38"/>
  <c r="AK77" i="34" s="1"/>
  <c r="Y5" i="38"/>
  <c r="AK74" i="34" s="1"/>
  <c r="AM74" i="34" s="1"/>
  <c r="T43" i="38"/>
  <c r="Z8" i="38"/>
  <c r="AL77" i="34" s="1"/>
  <c r="Z10" i="38"/>
  <c r="AL79" i="34" s="1"/>
  <c r="T27" i="38"/>
  <c r="AU8" i="39"/>
  <c r="AJ40" i="39"/>
  <c r="Q38" i="39" s="1"/>
  <c r="AH13" i="39"/>
  <c r="AJ83" i="39"/>
  <c r="AK83" i="39" s="1"/>
  <c r="AP83" i="39" s="1"/>
  <c r="U27" i="38"/>
  <c r="AE72" i="39"/>
  <c r="AC79" i="34" s="1"/>
  <c r="T24" i="38"/>
  <c r="T23" i="38"/>
  <c r="U23" i="38"/>
  <c r="AA41" i="38"/>
  <c r="U41" i="38"/>
  <c r="T22" i="38"/>
  <c r="U22" i="38"/>
  <c r="U42" i="38"/>
  <c r="AA28" i="38"/>
  <c r="T42" i="38"/>
  <c r="AA26" i="38"/>
  <c r="AK40" i="39"/>
  <c r="U24" i="38"/>
  <c r="AT35" i="39"/>
  <c r="U26" i="38"/>
  <c r="U17" i="38"/>
  <c r="U37" i="38"/>
  <c r="AA17" i="38"/>
  <c r="AH75" i="39"/>
  <c r="AJ75" i="39" s="1"/>
  <c r="Q56" i="39" s="1"/>
  <c r="R92" i="63"/>
  <c r="T31" i="38"/>
  <c r="AA31" i="38"/>
  <c r="T73" i="46"/>
  <c r="T17" i="38"/>
  <c r="T37" i="38"/>
  <c r="T16" i="38"/>
  <c r="AA34" i="38"/>
  <c r="T34" i="38"/>
  <c r="AH68" i="39"/>
  <c r="AJ68" i="39" s="1"/>
  <c r="S92" i="63"/>
  <c r="AJ90" i="39"/>
  <c r="AK90" i="39" s="1"/>
  <c r="AP90" i="39" s="1"/>
  <c r="AJ77" i="39"/>
  <c r="Q55" i="39" s="1"/>
  <c r="M92" i="63"/>
  <c r="AP88" i="39"/>
  <c r="AV88" i="39" s="1"/>
  <c r="AI58" i="39" s="1"/>
  <c r="AZ58" i="39" s="1"/>
  <c r="AV62" i="39"/>
  <c r="AH21" i="39"/>
  <c r="AK21" i="39" s="1"/>
  <c r="U21" i="38"/>
  <c r="AA29" i="38"/>
  <c r="T21" i="38"/>
  <c r="P92" i="63"/>
  <c r="U19" i="38"/>
  <c r="AJ69" i="39"/>
  <c r="G60" i="39" s="1"/>
  <c r="AA21" i="38"/>
  <c r="AU17" i="39"/>
  <c r="AJ23" i="39"/>
  <c r="S28" i="39" s="1"/>
  <c r="AA19" i="38"/>
  <c r="U29" i="38"/>
  <c r="AJ84" i="39"/>
  <c r="AK84" i="39" s="1"/>
  <c r="AP84" i="39" s="1"/>
  <c r="AH66" i="39"/>
  <c r="AS62" i="39" s="1"/>
  <c r="AJ59" i="39"/>
  <c r="S49" i="39" s="1"/>
  <c r="AJ89" i="39"/>
  <c r="AK89" i="39" s="1"/>
  <c r="AP89" i="39" s="1"/>
  <c r="AH67" i="39"/>
  <c r="AJ67" i="39" s="1"/>
  <c r="K92" i="63"/>
  <c r="AA18" i="38"/>
  <c r="H92" i="63"/>
  <c r="AK59" i="39"/>
  <c r="N92" i="63"/>
  <c r="Q92" i="63"/>
  <c r="U16" i="38"/>
  <c r="L92" i="63"/>
  <c r="AU71" i="39"/>
  <c r="AA16" i="38"/>
  <c r="G92" i="63"/>
  <c r="I92" i="63"/>
  <c r="AJ33" i="39"/>
  <c r="I36" i="39" s="1"/>
  <c r="AH48" i="39"/>
  <c r="AS44" i="39" s="1"/>
  <c r="O92" i="63"/>
  <c r="T74" i="46"/>
  <c r="AH76" i="39"/>
  <c r="AT71" i="39" s="1"/>
  <c r="AH78" i="39"/>
  <c r="AV71" i="39" s="1"/>
  <c r="AH22" i="39"/>
  <c r="AA74" i="39" s="1"/>
  <c r="AA78" i="39" s="1"/>
  <c r="AB23" i="38" s="1"/>
  <c r="AR88" i="39"/>
  <c r="U18" i="38"/>
  <c r="T75" i="46"/>
  <c r="I119" i="46" s="1"/>
  <c r="AR86" i="39"/>
  <c r="AH30" i="39"/>
  <c r="AS26" i="39" s="1"/>
  <c r="U38" i="38"/>
  <c r="AK33" i="39"/>
  <c r="T72" i="46"/>
  <c r="H119" i="46" s="1"/>
  <c r="T38" i="38"/>
  <c r="AH50" i="39"/>
  <c r="AJ50" i="39" s="1"/>
  <c r="AQ86" i="39"/>
  <c r="AH49" i="39"/>
  <c r="AJ49" i="39" s="1"/>
  <c r="G49" i="39" s="1"/>
  <c r="AH51" i="39"/>
  <c r="AJ51" i="39" s="1"/>
  <c r="AP86" i="39"/>
  <c r="AX86" i="39" s="1"/>
  <c r="AI42" i="39" s="1"/>
  <c r="AZ42" i="39" s="1"/>
  <c r="AH24" i="39"/>
  <c r="AJ24" i="39" s="1"/>
  <c r="S27" i="39" s="1"/>
  <c r="AH31" i="39"/>
  <c r="AK31" i="39" s="1"/>
  <c r="AH32" i="39"/>
  <c r="AJ32" i="39" s="1"/>
  <c r="I37" i="39" s="1"/>
  <c r="Y11" i="39"/>
  <c r="AD14" i="39" s="1"/>
  <c r="AD16" i="39" s="1"/>
  <c r="J92" i="63"/>
  <c r="T44" i="38"/>
  <c r="U44" i="38"/>
  <c r="AQ88" i="39"/>
  <c r="T33" i="38"/>
  <c r="U33" i="38"/>
  <c r="T39" i="38"/>
  <c r="AA39" i="38"/>
  <c r="T36" i="38"/>
  <c r="U36" i="38"/>
  <c r="AA36" i="38"/>
  <c r="AJ85" i="39"/>
  <c r="AK85" i="39" s="1"/>
  <c r="AP85" i="39" s="1"/>
  <c r="AE81" i="34"/>
  <c r="AC81" i="34"/>
  <c r="AC78" i="34"/>
  <c r="S45" i="39"/>
  <c r="Q47" i="39"/>
  <c r="S46" i="39"/>
  <c r="S47" i="39"/>
  <c r="Q35" i="39"/>
  <c r="Q37" i="39"/>
  <c r="AC52" i="38"/>
  <c r="AC51" i="38"/>
  <c r="AF74" i="39"/>
  <c r="AF78" i="39" s="1"/>
  <c r="AB48" i="38" s="1"/>
  <c r="AF75" i="39"/>
  <c r="AF79" i="39" s="1"/>
  <c r="AB49" i="38" s="1"/>
  <c r="AC29" i="38"/>
  <c r="AC23" i="38"/>
  <c r="AC19" i="38"/>
  <c r="AG72" i="39"/>
  <c r="AG75" i="39"/>
  <c r="AG79" i="39" s="1"/>
  <c r="AB54" i="38" s="1"/>
  <c r="K53" i="38" s="1"/>
  <c r="AG73" i="39"/>
  <c r="AF73" i="39"/>
  <c r="AE77" i="39"/>
  <c r="AB42" i="38" s="1"/>
  <c r="Z75" i="39"/>
  <c r="Z79" i="39" s="1"/>
  <c r="AB19" i="38" s="1"/>
  <c r="AB72" i="39"/>
  <c r="S40" i="39"/>
  <c r="AK80" i="34"/>
  <c r="AC77" i="39"/>
  <c r="AB32" i="38" s="1"/>
  <c r="AL35" i="39"/>
  <c r="AG74" i="39"/>
  <c r="AG78" i="39" s="1"/>
  <c r="AB53" i="38" s="1"/>
  <c r="K51" i="38" s="1"/>
  <c r="AF72" i="39"/>
  <c r="AA72" i="39"/>
  <c r="AC49" i="38"/>
  <c r="AC48" i="38"/>
  <c r="AC44" i="38"/>
  <c r="AC43" i="38"/>
  <c r="K41" i="38" s="1"/>
  <c r="AC39" i="38"/>
  <c r="AC34" i="38"/>
  <c r="K33" i="38" s="1"/>
  <c r="AC28" i="38"/>
  <c r="AO53" i="39"/>
  <c r="AC24" i="38"/>
  <c r="AK75" i="34"/>
  <c r="AK15" i="39"/>
  <c r="AM53" i="39"/>
  <c r="AL87" i="39"/>
  <c r="AP87" i="39"/>
  <c r="AL53" i="39" l="1"/>
  <c r="S50" i="39"/>
  <c r="Z73" i="39"/>
  <c r="AV8" i="39"/>
  <c r="Z25" i="38"/>
  <c r="AE144" i="34" s="1"/>
  <c r="Q45" i="39"/>
  <c r="AN35" i="39"/>
  <c r="S37" i="39"/>
  <c r="AN8" i="39"/>
  <c r="S39" i="39"/>
  <c r="S36" i="39"/>
  <c r="Z35" i="38"/>
  <c r="AE143" i="34" s="1"/>
  <c r="AO35" i="39"/>
  <c r="Q40" i="39"/>
  <c r="K43" i="38"/>
  <c r="AS8" i="39"/>
  <c r="AH16" i="38"/>
  <c r="AF16" i="38"/>
  <c r="AK12" i="39"/>
  <c r="AG16" i="38"/>
  <c r="Z72" i="39"/>
  <c r="Z76" i="39" s="1"/>
  <c r="AB16" i="38" s="1"/>
  <c r="Y35" i="38"/>
  <c r="AE145" i="34" s="1"/>
  <c r="AL83" i="39"/>
  <c r="AM83" i="39" s="1"/>
  <c r="I27" i="39"/>
  <c r="G26" i="39"/>
  <c r="AE18" i="38"/>
  <c r="AT8" i="39"/>
  <c r="Y25" i="38"/>
  <c r="AE141" i="34" s="1"/>
  <c r="AE76" i="39"/>
  <c r="AB41" i="38" s="1"/>
  <c r="Z15" i="38"/>
  <c r="AF17" i="38"/>
  <c r="AJ13" i="39"/>
  <c r="AE17" i="38" s="1"/>
  <c r="AG18" i="38"/>
  <c r="AG19" i="38"/>
  <c r="AH17" i="38"/>
  <c r="AH19" i="38"/>
  <c r="AF18" i="38"/>
  <c r="AF19" i="38"/>
  <c r="AH18" i="38"/>
  <c r="Z74" i="39"/>
  <c r="Z78" i="39" s="1"/>
  <c r="AB18" i="38" s="1"/>
  <c r="AG17" i="38"/>
  <c r="AK13" i="39"/>
  <c r="Y15" i="38"/>
  <c r="AE140" i="34" s="1"/>
  <c r="Q39" i="39"/>
  <c r="AM35" i="39"/>
  <c r="S35" i="39"/>
  <c r="AD72" i="39"/>
  <c r="AD76" i="39" s="1"/>
  <c r="AB36" i="38" s="1"/>
  <c r="AD75" i="39"/>
  <c r="AD79" i="39" s="1"/>
  <c r="AB39" i="38" s="1"/>
  <c r="D43" i="38" s="1"/>
  <c r="S58" i="39"/>
  <c r="AD73" i="39"/>
  <c r="AE78" i="34" s="1"/>
  <c r="AO78" i="34" s="1"/>
  <c r="AD74" i="39"/>
  <c r="AD78" i="39" s="1"/>
  <c r="AB38" i="38" s="1"/>
  <c r="S60" i="39"/>
  <c r="AL71" i="39"/>
  <c r="AK75" i="39"/>
  <c r="Q58" i="39"/>
  <c r="AS71" i="39"/>
  <c r="AB74" i="39"/>
  <c r="AB78" i="39" s="1"/>
  <c r="AB28" i="38" s="1"/>
  <c r="AL84" i="39"/>
  <c r="AM84" i="39" s="1"/>
  <c r="AA73" i="39"/>
  <c r="AE74" i="34" s="1"/>
  <c r="AO74" i="34" s="1"/>
  <c r="AH21" i="38"/>
  <c r="AS17" i="39"/>
  <c r="AJ21" i="39"/>
  <c r="Q28" i="39" s="1"/>
  <c r="AL90" i="39"/>
  <c r="AM90" i="39" s="1"/>
  <c r="AB75" i="39"/>
  <c r="AB79" i="39" s="1"/>
  <c r="AB29" i="38" s="1"/>
  <c r="D33" i="38" s="1"/>
  <c r="AB73" i="39"/>
  <c r="AE75" i="34" s="1"/>
  <c r="AO75" i="34" s="1"/>
  <c r="AE87" i="34" s="1"/>
  <c r="AI87" i="34" s="1"/>
  <c r="AO87" i="34" s="1"/>
  <c r="J119" i="46"/>
  <c r="AK68" i="39"/>
  <c r="AU62" i="39"/>
  <c r="AJ66" i="39"/>
  <c r="I60" i="39" s="1"/>
  <c r="AN71" i="39"/>
  <c r="S59" i="39"/>
  <c r="AK67" i="39"/>
  <c r="AA75" i="39"/>
  <c r="AA79" i="39" s="1"/>
  <c r="AB24" i="38" s="1"/>
  <c r="K23" i="38" s="1"/>
  <c r="AT62" i="39"/>
  <c r="Q26" i="39"/>
  <c r="AN53" i="39"/>
  <c r="Q46" i="39"/>
  <c r="S48" i="39"/>
  <c r="AO62" i="39"/>
  <c r="AF21" i="38"/>
  <c r="AG21" i="38"/>
  <c r="I55" i="39"/>
  <c r="G57" i="39"/>
  <c r="AK51" i="39"/>
  <c r="AE23" i="38"/>
  <c r="S30" i="39"/>
  <c r="AG22" i="38"/>
  <c r="AK22" i="39"/>
  <c r="AL89" i="39"/>
  <c r="AQ89" i="39" s="1"/>
  <c r="AN17" i="39"/>
  <c r="G38" i="39"/>
  <c r="AO26" i="39"/>
  <c r="AK76" i="39"/>
  <c r="G39" i="39"/>
  <c r="AF23" i="38"/>
  <c r="AH23" i="38"/>
  <c r="AH22" i="38"/>
  <c r="AT17" i="39"/>
  <c r="AG23" i="38"/>
  <c r="AF22" i="38"/>
  <c r="AJ22" i="39"/>
  <c r="AE22" i="38" s="1"/>
  <c r="AK66" i="39"/>
  <c r="AV44" i="39"/>
  <c r="AJ48" i="39"/>
  <c r="G46" i="39" s="1"/>
  <c r="AK48" i="39"/>
  <c r="AT26" i="39"/>
  <c r="AJ30" i="39"/>
  <c r="G37" i="39" s="1"/>
  <c r="AJ78" i="39"/>
  <c r="S55" i="39" s="1"/>
  <c r="AK78" i="39"/>
  <c r="AJ76" i="39"/>
  <c r="S57" i="39" s="1"/>
  <c r="AK50" i="39"/>
  <c r="AG53" i="38"/>
  <c r="AG29" i="38"/>
  <c r="AF44" i="38"/>
  <c r="AH52" i="38"/>
  <c r="AH26" i="38"/>
  <c r="AG49" i="38"/>
  <c r="AK24" i="39"/>
  <c r="AH33" i="38"/>
  <c r="AF52" i="38"/>
  <c r="AF26" i="38"/>
  <c r="AF38" i="38"/>
  <c r="AE34" i="38"/>
  <c r="AW86" i="39"/>
  <c r="AI41" i="39" s="1"/>
  <c r="AZ41" i="39" s="1"/>
  <c r="AG52" i="38"/>
  <c r="AF47" i="38"/>
  <c r="AF29" i="38"/>
  <c r="AF51" i="38"/>
  <c r="AF36" i="38"/>
  <c r="AH32" i="38"/>
  <c r="AG33" i="38"/>
  <c r="AH54" i="38"/>
  <c r="AF42" i="38"/>
  <c r="AH48" i="38"/>
  <c r="AG47" i="38"/>
  <c r="AH44" i="38"/>
  <c r="AF32" i="38"/>
  <c r="AH49" i="38"/>
  <c r="AG27" i="38"/>
  <c r="AK30" i="39"/>
  <c r="AU88" i="39"/>
  <c r="AI57" i="39" s="1"/>
  <c r="AZ57" i="39" s="1"/>
  <c r="AH37" i="38"/>
  <c r="AK32" i="39"/>
  <c r="AG32" i="38"/>
  <c r="AH39" i="38"/>
  <c r="AH24" i="38"/>
  <c r="AG42" i="38"/>
  <c r="AH27" i="38"/>
  <c r="AF28" i="38"/>
  <c r="AH31" i="38"/>
  <c r="AG37" i="38"/>
  <c r="AG24" i="38"/>
  <c r="AE51" i="38"/>
  <c r="AG31" i="38"/>
  <c r="AF33" i="38"/>
  <c r="AG26" i="38"/>
  <c r="AE29" i="38"/>
  <c r="AG34" i="38"/>
  <c r="AG44" i="38"/>
  <c r="AE42" i="38"/>
  <c r="AE53" i="38"/>
  <c r="AH53" i="38"/>
  <c r="AG51" i="38"/>
  <c r="AG43" i="38"/>
  <c r="AF43" i="38"/>
  <c r="AG54" i="38"/>
  <c r="AG48" i="38"/>
  <c r="AH34" i="38"/>
  <c r="AF27" i="38"/>
  <c r="AV17" i="39"/>
  <c r="AU44" i="39"/>
  <c r="AW88" i="39"/>
  <c r="AI59" i="39" s="1"/>
  <c r="AZ59" i="39" s="1"/>
  <c r="AH42" i="38"/>
  <c r="AF41" i="38"/>
  <c r="AX88" i="39"/>
  <c r="AI60" i="39" s="1"/>
  <c r="AZ60" i="39" s="1"/>
  <c r="AJ31" i="39"/>
  <c r="I38" i="39" s="1"/>
  <c r="AG38" i="38"/>
  <c r="AF37" i="38"/>
  <c r="AE49" i="38"/>
  <c r="AH51" i="38"/>
  <c r="AF53" i="38"/>
  <c r="AF39" i="38"/>
  <c r="AH38" i="38"/>
  <c r="AF24" i="38"/>
  <c r="AE43" i="38"/>
  <c r="AF34" i="38"/>
  <c r="AE44" i="38"/>
  <c r="AH47" i="38"/>
  <c r="AG46" i="38"/>
  <c r="AU86" i="39"/>
  <c r="AI39" i="39" s="1"/>
  <c r="AZ39" i="39" s="1"/>
  <c r="AV86" i="39"/>
  <c r="AI40" i="39" s="1"/>
  <c r="AZ40" i="39" s="1"/>
  <c r="AK49" i="39"/>
  <c r="AF48" i="38"/>
  <c r="AG41" i="38"/>
  <c r="AT44" i="39"/>
  <c r="T69" i="46"/>
  <c r="T71" i="46" s="1"/>
  <c r="AH28" i="38"/>
  <c r="AG28" i="38"/>
  <c r="AG39" i="38"/>
  <c r="AF46" i="38"/>
  <c r="AH41" i="38"/>
  <c r="AH46" i="38"/>
  <c r="AH43" i="38"/>
  <c r="AG36" i="38"/>
  <c r="AU26" i="39"/>
  <c r="AH29" i="38"/>
  <c r="AF31" i="38"/>
  <c r="AF49" i="38"/>
  <c r="AF54" i="38"/>
  <c r="AH36" i="38"/>
  <c r="AL85" i="39"/>
  <c r="AM85" i="39" s="1"/>
  <c r="D51" i="38"/>
  <c r="D53" i="38"/>
  <c r="AE32" i="38"/>
  <c r="D23" i="38"/>
  <c r="AE31" i="38"/>
  <c r="K21" i="38"/>
  <c r="AE33" i="38"/>
  <c r="D31" i="38"/>
  <c r="AE41" i="38"/>
  <c r="AG81" i="34"/>
  <c r="AI80" i="34"/>
  <c r="AI81" i="34"/>
  <c r="AG80" i="34"/>
  <c r="AC76" i="34"/>
  <c r="AI74" i="34"/>
  <c r="AG75" i="34"/>
  <c r="AG77" i="34"/>
  <c r="AG74" i="34"/>
  <c r="AG78" i="34"/>
  <c r="AI79" i="34"/>
  <c r="AG79" i="34"/>
  <c r="AI78" i="34"/>
  <c r="AC18" i="38"/>
  <c r="AI77" i="34"/>
  <c r="AI76" i="34"/>
  <c r="AG76" i="34"/>
  <c r="AI75" i="34"/>
  <c r="AC74" i="34"/>
  <c r="AO81" i="34"/>
  <c r="AM81" i="34"/>
  <c r="AC93" i="34" s="1"/>
  <c r="AG93" i="34" s="1"/>
  <c r="AM93" i="34" s="1"/>
  <c r="AC77" i="34"/>
  <c r="AM77" i="34" s="1"/>
  <c r="AC89" i="34" s="1"/>
  <c r="AG89" i="34" s="1"/>
  <c r="AN44" i="39"/>
  <c r="I49" i="39"/>
  <c r="I47" i="39"/>
  <c r="G50" i="39"/>
  <c r="G47" i="39"/>
  <c r="I28" i="39"/>
  <c r="G29" i="39"/>
  <c r="G25" i="39"/>
  <c r="G27" i="39"/>
  <c r="I26" i="39"/>
  <c r="AM80" i="34"/>
  <c r="AM76" i="34"/>
  <c r="AO80" i="34"/>
  <c r="AM78" i="34"/>
  <c r="AC47" i="38"/>
  <c r="AC46" i="38"/>
  <c r="AC36" i="38"/>
  <c r="AC16" i="38"/>
  <c r="AG77" i="39"/>
  <c r="AB52" i="38" s="1"/>
  <c r="K49" i="38" s="1"/>
  <c r="AF76" i="39"/>
  <c r="AB46" i="38" s="1"/>
  <c r="AM79" i="34"/>
  <c r="AC38" i="38"/>
  <c r="AF77" i="39"/>
  <c r="AB47" i="38" s="1"/>
  <c r="AG76" i="39"/>
  <c r="AB51" i="38" s="1"/>
  <c r="K47" i="38" s="1"/>
  <c r="I58" i="39"/>
  <c r="I59" i="39"/>
  <c r="I57" i="39"/>
  <c r="G59" i="39"/>
  <c r="I56" i="39"/>
  <c r="G55" i="39"/>
  <c r="AC31" i="38"/>
  <c r="K27" i="38" s="1"/>
  <c r="AC32" i="38"/>
  <c r="K29" i="38" s="1"/>
  <c r="AC17" i="38"/>
  <c r="I40" i="39"/>
  <c r="G36" i="39"/>
  <c r="AB76" i="39"/>
  <c r="AB26" i="38" s="1"/>
  <c r="O53" i="46"/>
  <c r="AN26" i="39"/>
  <c r="AE28" i="38"/>
  <c r="T110" i="46"/>
  <c r="T108" i="46"/>
  <c r="AC33" i="38"/>
  <c r="K31" i="38" s="1"/>
  <c r="AA76" i="39"/>
  <c r="AB21" i="38" s="1"/>
  <c r="Z77" i="39"/>
  <c r="AB17" i="38" s="1"/>
  <c r="S26" i="39"/>
  <c r="AE24" i="38"/>
  <c r="Q29" i="39"/>
  <c r="AO17" i="39"/>
  <c r="AE37" i="38"/>
  <c r="I46" i="39"/>
  <c r="AM44" i="39"/>
  <c r="I45" i="39"/>
  <c r="AO44" i="39"/>
  <c r="I48" i="39"/>
  <c r="G45" i="39"/>
  <c r="AE38" i="38"/>
  <c r="AE39" i="38"/>
  <c r="AE16" i="38"/>
  <c r="AL8" i="39"/>
  <c r="AM62" i="39"/>
  <c r="AE47" i="38"/>
  <c r="AE48" i="38"/>
  <c r="AN62" i="39"/>
  <c r="AE19" i="38"/>
  <c r="AO8" i="39"/>
  <c r="AU89" i="39"/>
  <c r="AM87" i="39"/>
  <c r="AQ87" i="39"/>
  <c r="AQ83" i="39" l="1"/>
  <c r="AM8" i="39"/>
  <c r="AC75" i="34"/>
  <c r="AM75" i="34" s="1"/>
  <c r="AC87" i="34" s="1"/>
  <c r="AG87" i="34" s="1"/>
  <c r="AM87" i="34" s="1"/>
  <c r="AC17" i="34" s="1"/>
  <c r="G17" i="34" s="1"/>
  <c r="G28" i="39"/>
  <c r="AD77" i="39"/>
  <c r="AB37" i="38" s="1"/>
  <c r="G30" i="39"/>
  <c r="I25" i="39"/>
  <c r="T83" i="46"/>
  <c r="AE142" i="34"/>
  <c r="AC80" i="34"/>
  <c r="T82" i="46"/>
  <c r="T85" i="46"/>
  <c r="X57" i="38"/>
  <c r="Z60" i="38" s="1"/>
  <c r="AA59" i="38" s="1"/>
  <c r="O54" i="46" s="1"/>
  <c r="T84" i="46"/>
  <c r="AL62" i="39"/>
  <c r="D41" i="38"/>
  <c r="T59" i="38"/>
  <c r="AE76" i="34"/>
  <c r="AO76" i="34" s="1"/>
  <c r="AE88" i="34" s="1"/>
  <c r="AI88" i="34" s="1"/>
  <c r="AL88" i="34" s="1"/>
  <c r="AE80" i="34"/>
  <c r="AE77" i="34"/>
  <c r="AO77" i="34" s="1"/>
  <c r="AE89" i="34" s="1"/>
  <c r="AI89" i="34" s="1"/>
  <c r="AL89" i="34" s="1"/>
  <c r="AQ90" i="39"/>
  <c r="AU90" i="39" s="1"/>
  <c r="AI75" i="39" s="1"/>
  <c r="AZ75" i="39" s="1"/>
  <c r="AQ84" i="39"/>
  <c r="AM89" i="39"/>
  <c r="AN89" i="39" s="1"/>
  <c r="AS89" i="39" s="1"/>
  <c r="AA77" i="39"/>
  <c r="AB22" i="38" s="1"/>
  <c r="AM17" i="39"/>
  <c r="AE46" i="38"/>
  <c r="AE79" i="34"/>
  <c r="AO79" i="34" s="1"/>
  <c r="AE91" i="34" s="1"/>
  <c r="AI91" i="34" s="1"/>
  <c r="AL91" i="34" s="1"/>
  <c r="Q30" i="39"/>
  <c r="AB77" i="39"/>
  <c r="AB27" i="38" s="1"/>
  <c r="AL17" i="39"/>
  <c r="S29" i="39"/>
  <c r="Q25" i="39"/>
  <c r="AE21" i="38"/>
  <c r="G58" i="39"/>
  <c r="G56" i="39"/>
  <c r="AE26" i="38"/>
  <c r="G35" i="39"/>
  <c r="AL44" i="39"/>
  <c r="AE27" i="38"/>
  <c r="AE52" i="38"/>
  <c r="G40" i="39"/>
  <c r="AM71" i="39"/>
  <c r="AM26" i="39"/>
  <c r="I35" i="39"/>
  <c r="S56" i="39"/>
  <c r="I50" i="39"/>
  <c r="AE36" i="38"/>
  <c r="Q59" i="39"/>
  <c r="G48" i="39"/>
  <c r="S25" i="39"/>
  <c r="Q27" i="39"/>
  <c r="I39" i="39"/>
  <c r="AL26" i="39"/>
  <c r="AO71" i="39"/>
  <c r="AE54" i="38"/>
  <c r="Q57" i="39"/>
  <c r="Q60" i="39"/>
  <c r="T70" i="46"/>
  <c r="T76" i="46" s="1"/>
  <c r="Z70" i="46" s="1"/>
  <c r="AQ85" i="39"/>
  <c r="D49" i="38"/>
  <c r="D47" i="38"/>
  <c r="D17" i="38"/>
  <c r="D19" i="38"/>
  <c r="D21" i="38"/>
  <c r="D37" i="38"/>
  <c r="AC86" i="34"/>
  <c r="AG86" i="34" s="1"/>
  <c r="AM86" i="34" s="1"/>
  <c r="AC15" i="34" s="1"/>
  <c r="G15" i="34" s="1"/>
  <c r="AC91" i="34"/>
  <c r="AG91" i="34" s="1"/>
  <c r="AM91" i="34" s="1"/>
  <c r="AC25" i="34" s="1"/>
  <c r="G25"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C92" i="34"/>
  <c r="AG92" i="34" s="1"/>
  <c r="AM92" i="34" s="1"/>
  <c r="AC29" i="34"/>
  <c r="AM89" i="34"/>
  <c r="AC21" i="34" s="1"/>
  <c r="G21" i="34" s="1"/>
  <c r="AE17" i="34"/>
  <c r="O17" i="34" s="1"/>
  <c r="T109" i="46"/>
  <c r="T105" i="46"/>
  <c r="X108" i="46" s="1"/>
  <c r="O59" i="46"/>
  <c r="AC37" i="38"/>
  <c r="AC41" i="38"/>
  <c r="K37" i="38" s="1"/>
  <c r="AC42" i="38"/>
  <c r="K39" i="38" s="1"/>
  <c r="AC26" i="38"/>
  <c r="D27" i="38" s="1"/>
  <c r="AC27" i="38"/>
  <c r="AC22" i="38"/>
  <c r="AC21" i="38"/>
  <c r="K17" i="38" s="1"/>
  <c r="AI66" i="39"/>
  <c r="AN90" i="39"/>
  <c r="AS90" i="39" s="1"/>
  <c r="AR90" i="39"/>
  <c r="AN85" i="39"/>
  <c r="AS85" i="39" s="1"/>
  <c r="AR85" i="39"/>
  <c r="AN87" i="39"/>
  <c r="AS87" i="39" s="1"/>
  <c r="AR87" i="39"/>
  <c r="AX87" i="39" s="1"/>
  <c r="AI51" i="39" s="1"/>
  <c r="AN84" i="39"/>
  <c r="AS84" i="39" s="1"/>
  <c r="AR84" i="39"/>
  <c r="AN83" i="39"/>
  <c r="AS83" i="39" s="1"/>
  <c r="AR83" i="39"/>
  <c r="AU83" i="39" s="1"/>
  <c r="AI12" i="39" s="1"/>
  <c r="AZ12" i="39" s="1"/>
  <c r="D39" i="38" l="1"/>
  <c r="T79" i="46"/>
  <c r="T80" i="46" s="1"/>
  <c r="AO88" i="34"/>
  <c r="AE19" i="34" s="1"/>
  <c r="O19" i="34" s="1"/>
  <c r="AV90" i="39"/>
  <c r="AI76" i="39" s="1"/>
  <c r="AZ76" i="39" s="1"/>
  <c r="AI52" i="38" s="1"/>
  <c r="D29" i="38"/>
  <c r="AR89" i="39"/>
  <c r="AX89" i="39" s="1"/>
  <c r="K19" i="38"/>
  <c r="AO92" i="34"/>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V84" i="39"/>
  <c r="AI22" i="39" s="1"/>
  <c r="AW84" i="39"/>
  <c r="AI23" i="39" s="1"/>
  <c r="AU87" i="39"/>
  <c r="AI48" i="39" s="1"/>
  <c r="AV89" i="39"/>
  <c r="AI67" i="39" s="1"/>
  <c r="AW85" i="39"/>
  <c r="AI32" i="39" s="1"/>
  <c r="K119" i="46"/>
  <c r="B131" i="46" s="1"/>
  <c r="X107" i="46"/>
  <c r="T107" i="46" s="1"/>
  <c r="T106" i="46"/>
  <c r="AV85" i="39"/>
  <c r="AI31" i="39" s="1"/>
  <c r="AZ31" i="39" s="1"/>
  <c r="AW83" i="39"/>
  <c r="AI14" i="39" s="1"/>
  <c r="AI31" i="38"/>
  <c r="AI51" i="38"/>
  <c r="AV87" i="39"/>
  <c r="AX83" i="39"/>
  <c r="AX84" i="39"/>
  <c r="AX90" i="39"/>
  <c r="AI78" i="39" s="1"/>
  <c r="AZ78" i="39" s="1"/>
  <c r="AX85" i="39"/>
  <c r="Q84" i="29"/>
  <c r="P94" i="41" s="1"/>
  <c r="Q83" i="29"/>
  <c r="P93" i="41" s="1"/>
  <c r="AW89" i="39" l="1"/>
  <c r="AI68" i="39" s="1"/>
  <c r="T81" i="46"/>
  <c r="AI17" i="38"/>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<sst xmlns="http://schemas.openxmlformats.org/spreadsheetml/2006/main" count="3748" uniqueCount="2502">
  <si>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</si>
  <si>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</si>
  <si>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</si>
  <si>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</si>
  <si>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</si>
  <si>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</si>
  <si>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</si>
  <si>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</si>
  <si>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</si>
  <si>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</si>
  <si>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</si>
  <si>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</si>
  <si>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</si>
  <si>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</si>
  <si>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</si>
  <si>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</si>
  <si>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</si>
  <si>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</si>
  <si>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</si>
  <si>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</si>
  <si>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</si>
  <si>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</si>
  <si>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</si>
  <si>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</si>
  <si>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</si>
  <si>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</si>
  <si>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</si>
  <si>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</si>
  <si>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</si>
  <si>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</si>
  <si>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</si>
  <si>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</si>
  <si>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</si>
  <si>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</si>
  <si>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</si>
  <si>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</si>
  <si>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</si>
  <si>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</si>
  <si>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</si>
  <si>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</si>
  <si>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</si>
  <si>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</si>
  <si>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</si>
  <si>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</si>
  <si>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</si>
  <si>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</si>
  <si>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</si>
  <si>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</si>
  <si>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</si>
  <si>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</si>
  <si>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</si>
  <si>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</si>
  <si>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</si>
  <si>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</si>
  <si>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</si>
  <si>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</si>
  <si>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</si>
  <si>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</si>
  <si>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</si>
  <si>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</si>
  <si>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</si>
  <si>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</si>
  <si>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</si>
  <si>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</si>
  <si>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</si>
  <si>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</si>
  <si>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</si>
  <si>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</si>
  <si>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</si>
  <si>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</si>
  <si>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</si>
  <si>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</si>
  <si>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</si>
  <si>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</si>
  <si>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</si>
  <si>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</si>
  <si>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</si>
  <si>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</si>
  <si>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</si>
  <si>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</si>
  <si>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</si>
  <si>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</si>
  <si>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</si>
  <si>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</si>
  <si>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</si>
  <si>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</si>
  <si>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</si>
  <si>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</si>
  <si>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</si>
  <si>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</si>
  <si>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</si>
  <si>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</si>
  <si>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</si>
  <si>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</si>
  <si>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</si>
  <si>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</si>
  <si>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</si>
  <si>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</si>
  <si>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</si>
  <si>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</si>
  <si>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</si>
  <si>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</si>
  <si>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</si>
  <si>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</si>
  <si>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</si>
  <si>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</si>
  <si>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</si>
  <si>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</si>
  <si>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</si>
  <si>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</si>
  <si>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</si>
  <si>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</si>
  <si>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</si>
  <si>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</si>
  <si>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</si>
  <si>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</si>
  <si>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</si>
  <si>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</si>
  <si>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</si>
  <si>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</si>
  <si>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</si>
  <si>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</si>
  <si>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</si>
  <si>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</si>
  <si>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</si>
  <si>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</si>
  <si>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</si>
  <si>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</si>
  <si>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</si>
  <si>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</si>
  <si>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</si>
  <si>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</si>
  <si>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</si>
  <si>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</si>
  <si>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</si>
  <si>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</si>
  <si>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</si>
  <si>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</si>
  <si>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</si>
  <si>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</si>
  <si>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</si>
  <si>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</si>
  <si>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</si>
  <si>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</si>
  <si>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</si>
  <si>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</si>
  <si>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</si>
  <si>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</si>
  <si>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</si>
  <si>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</si>
  <si>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</si>
  <si>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</si>
  <si>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</si>
  <si>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</si>
  <si>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</si>
  <si>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</si>
  <si>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</si>
  <si>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</si>
  <si>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</si>
  <si>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</si>
  <si>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</si>
  <si>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</si>
  <si>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</si>
  <si>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</si>
  <si>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</si>
  <si>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</si>
  <si>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</si>
  <si>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</si>
  <si>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</si>
  <si>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</si>
  <si>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</si>
  <si>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</si>
  <si>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</si>
  <si>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</si>
  <si>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</si>
  <si>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</si>
  <si>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</si>
  <si>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</si>
  <si>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</si>
  <si>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</si>
  <si>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</si>
  <si>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</si>
  <si>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</si>
  <si>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</si>
  <si>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</si>
  <si>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</si>
  <si>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</si>
  <si>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</si>
  <si>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</si>
  <si>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</si>
  <si>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</si>
  <si>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</si>
  <si>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</si>
  <si>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</si>
  <si>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</si>
  <si>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</si>
  <si>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</si>
  <si>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</si>
  <si>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</si>
  <si>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</si>
  <si>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</si>
  <si>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</si>
  <si>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</si>
  <si>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</si>
  <si>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</si>
  <si>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</si>
  <si>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</si>
  <si>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</si>
  <si>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</si>
  <si>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</si>
  <si>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</si>
  <si>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</si>
  <si>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</si>
  <si>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</si>
  <si>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</si>
  <si>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</si>
  <si>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</si>
  <si>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</si>
  <si>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</si>
  <si>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</si>
  <si>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</si>
  <si>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</si>
  <si>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</si>
  <si>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</si>
  <si>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</si>
  <si>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</si>
  <si>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</si>
  <si>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</si>
  <si>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</si>
  <si>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</si>
  <si>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</si>
  <si>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</si>
  <si>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</si>
  <si>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</si>
  <si>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</si>
  <si>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</si>
  <si>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</si>
  <si>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</si>
  <si>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</si>
  <si>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</si>
  <si>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</si>
  <si>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</si>
  <si>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</si>
  <si>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</si>
  <si>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</si>
  <si>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</si>
  <si>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</si>
  <si>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</si>
  <si>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</si>
  <si>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</si>
  <si>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</si>
  <si>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</si>
  <si>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</si>
  <si>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</si>
  <si>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</si>
  <si>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</si>
  <si>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</si>
  <si>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</si>
  <si>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</si>
  <si>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</si>
  <si>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</si>
  <si>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</si>
  <si>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</si>
  <si>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</si>
  <si>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</si>
  <si>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</si>
  <si>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</si>
  <si>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</si>
  <si>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</si>
  <si>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</si>
  <si>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</si>
  <si>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</si>
  <si>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</si>
  <si>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</si>
  <si>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</si>
  <si>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</si>
  <si>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</si>
  <si>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</si>
  <si>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</si>
  <si>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</si>
  <si>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</si>
  <si>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</si>
  <si>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</si>
  <si>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</si>
  <si>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</si>
  <si>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</si>
  <si>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</si>
  <si>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</si>
  <si>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</si>
  <si>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</si>
  <si>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</si>
  <si>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</si>
  <si>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</si>
  <si>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</si>
  <si>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</si>
  <si>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</si>
  <si>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</si>
  <si>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</si>
  <si>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</si>
  <si>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</si>
  <si>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</si>
  <si>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</si>
  <si>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</si>
  <si>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</si>
  <si>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</si>
  <si>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</si>
  <si>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</si>
  <si>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</si>
  <si>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</si>
  <si>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</si>
  <si>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</si>
  <si>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</si>
  <si>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</si>
  <si>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</si>
  <si>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</si>
  <si>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</si>
  <si>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</si>
  <si>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</si>
  <si>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</si>
  <si>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</si>
  <si>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</si>
  <si>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</si>
  <si>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</si>
  <si>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</si>
  <si>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</si>
  <si>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</si>
  <si>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</si>
  <si>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</si>
  <si>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</si>
  <si>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</si>
  <si>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</si>
  <si>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</si>
  <si>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</si>
  <si>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</si>
  <si>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</si>
  <si>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</si>
  <si>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</si>
  <si>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</si>
  <si>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</si>
  <si>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</si>
  <si>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</si>
  <si>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</si>
  <si>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</si>
  <si>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</si>
  <si>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</si>
  <si>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</si>
  <si>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</si>
  <si>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</si>
  <si>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</si>
  <si>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</si>
  <si>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</si>
  <si>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</si>
  <si>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</si>
  <si>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</si>
  <si>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</si>
  <si>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</si>
  <si>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</si>
  <si>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</si>
  <si>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</si>
  <si>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</si>
  <si>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</si>
  <si>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</si>
  <si>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</si>
  <si>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</si>
  <si>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</si>
  <si>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</si>
  <si>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</si>
  <si>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</si>
  <si>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</si>
  <si>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</si>
  <si>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</si>
  <si>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</si>
  <si>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</si>
  <si>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</si>
  <si>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</si>
  <si>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</si>
  <si>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</si>
  <si>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</si>
  <si>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</si>
  <si>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</si>
  <si>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</si>
  <si>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</si>
  <si>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</si>
  <si>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</si>
  <si>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</si>
  <si>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</si>
  <si>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</si>
  <si>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</si>
  <si>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</si>
  <si>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</si>
  <si>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</si>
  <si>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</si>
  <si>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</si>
  <si>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</si>
  <si>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</si>
  <si>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</si>
  <si>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</si>
  <si>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</si>
  <si>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</si>
  <si>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</si>
  <si>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</si>
  <si>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</si>
  <si>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</si>
  <si>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</si>
  <si>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</si>
  <si>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</si>
  <si>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</si>
  <si>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</si>
  <si>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</si>
  <si>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</si>
  <si>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</si>
  <si>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</si>
  <si>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</si>
  <si>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</si>
  <si>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</si>
  <si>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</si>
  <si>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</si>
  <si>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</si>
  <si>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</si>
  <si>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</si>
  <si>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</si>
  <si>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</si>
  <si>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</si>
  <si>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</si>
  <si>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</si>
  <si>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</si>
  <si>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</si>
  <si>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</si>
  <si>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</si>
  <si>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</si>
  <si>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</si>
  <si>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</si>
  <si>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</si>
  <si>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</si>
  <si>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</si>
  <si>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</si>
  <si>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</si>
  <si>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</si>
  <si>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</si>
  <si>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</si>
  <si>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</si>
  <si>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</si>
  <si>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</si>
  <si>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</si>
  <si>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</si>
  <si>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</si>
  <si>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</si>
  <si>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</si>
  <si>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</si>
  <si>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</si>
  <si>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</si>
  <si>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</si>
  <si>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</si>
  <si>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</si>
  <si>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</si>
  <si>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</si>
  <si>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</si>
  <si>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</si>
  <si>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</si>
  <si>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</si>
  <si>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</si>
  <si>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</si>
  <si>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</si>
  <si>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</si>
  <si>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</si>
  <si>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</si>
  <si>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</si>
  <si>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</si>
  <si>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</si>
  <si>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</si>
  <si>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</si>
  <si>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</si>
  <si>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</si>
  <si>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</si>
  <si>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</si>
  <si>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</si>
  <si>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</si>
  <si>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</si>
  <si>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</si>
  <si>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</si>
  <si>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</si>
  <si>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</si>
  <si>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</si>
  <si>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</si>
  <si>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</si>
  <si>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</si>
  <si>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</si>
  <si>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</si>
  <si>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</si>
  <si>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</si>
  <si>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</si>
  <si>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</si>
  <si>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</si>
  <si>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</si>
  <si>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</si>
  <si>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</si>
  <si>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</si>
  <si>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</si>
  <si>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</si>
  <si>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</si>
  <si>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</si>
  <si>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</si>
  <si>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</si>
  <si>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</si>
  <si>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</si>
  <si>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</si>
  <si>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</si>
  <si>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</si>
  <si>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</si>
  <si>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</si>
  <si>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</si>
  <si>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</si>
  <si>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</si>
  <si>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</si>
  <si>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</si>
  <si>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</si>
  <si>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</si>
  <si>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</si>
  <si>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</si>
  <si>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</si>
  <si>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</si>
  <si>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</si>
  <si>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</si>
  <si>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</si>
  <si>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</si>
  <si>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</si>
  <si>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</si>
  <si>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</si>
  <si>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</si>
  <si>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</si>
  <si>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</si>
  <si>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</si>
  <si>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</si>
  <si>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</si>
  <si>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</si>
  <si>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</si>
  <si>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</si>
  <si>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</si>
  <si>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</si>
  <si>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</si>
  <si>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</si>
  <si>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</si>
  <si>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</si>
  <si>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</si>
  <si>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</si>
  <si>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</si>
  <si>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</si>
  <si>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</si>
  <si>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</si>
  <si>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</si>
  <si>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</si>
  <si>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</si>
  <si>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</si>
  <si>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</si>
  <si>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</si>
  <si>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</si>
  <si>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</si>
  <si>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</si>
  <si>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</si>
  <si>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</si>
  <si>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</si>
  <si>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</si>
  <si>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</si>
  <si>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</si>
  <si>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</si>
  <si>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</si>
  <si>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</si>
  <si>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</si>
  <si>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</si>
  <si>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</si>
  <si>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</si>
  <si>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</si>
  <si>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</si>
  <si>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</si>
  <si>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</si>
  <si>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</si>
  <si>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</si>
  <si>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</si>
  <si>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</si>
  <si>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</si>
  <si>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</si>
  <si>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</si>
  <si>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</si>
  <si>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</si>
  <si>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</si>
  <si>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</si>
  <si>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</si>
  <si>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</si>
  <si>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</si>
  <si>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</si>
  <si>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</si>
  <si>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</si>
  <si>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</si>
  <si>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</si>
  <si>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</si>
  <si>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</si>
  <si>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</si>
  <si>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</si>
  <si>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</si>
  <si>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</si>
  <si>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</si>
  <si>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</si>
  <si>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</si>
  <si>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</si>
  <si>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</si>
  <si>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</si>
  <si>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</si>
  <si>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</si>
  <si>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</si>
  <si>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</si>
  <si>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</si>
  <si>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</si>
  <si>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</si>
  <si>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</si>
  <si>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</si>
  <si>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</si>
  <si>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</si>
  <si>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</si>
  <si>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</si>
  <si>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</si>
  <si>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</si>
  <si>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</si>
  <si>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</si>
  <si>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</si>
  <si>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</si>
  <si>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</si>
  <si>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</si>
  <si>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</si>
  <si>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</si>
  <si>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</si>
  <si>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</si>
  <si>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</si>
  <si>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</si>
  <si>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</si>
  <si>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</si>
  <si>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</si>
  <si>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</si>
  <si>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</si>
  <si>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</si>
  <si>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</si>
  <si>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</si>
  <si>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</si>
  <si>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</si>
  <si>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</si>
  <si>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</si>
  <si>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</si>
  <si>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</si>
  <si>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</si>
  <si>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</si>
  <si>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</si>
  <si>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</si>
  <si>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</si>
  <si>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</si>
  <si>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</si>
  <si>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</si>
  <si>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</si>
  <si>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</si>
  <si>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</si>
  <si>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</si>
  <si>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</si>
  <si>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</si>
  <si>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</si>
  <si>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</si>
  <si>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</si>
  <si>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</si>
  <si>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</si>
  <si>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</si>
  <si>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</si>
  <si>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</si>
  <si>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</si>
  <si>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</si>
  <si>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</si>
  <si>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</si>
  <si>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</si>
  <si>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</si>
  <si>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</si>
  <si>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</si>
  <si>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</si>
  <si>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</si>
  <si>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</si>
  <si>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</si>
  <si>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</si>
  <si>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</si>
  <si>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</si>
  <si>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</si>
  <si>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</si>
  <si>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</si>
  <si>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</si>
  <si>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</si>
  <si>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</si>
  <si>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</si>
  <si>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</si>
  <si>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</si>
  <si>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</si>
  <si>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</si>
  <si>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</si>
  <si>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</si>
  <si>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</si>
  <si>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</si>
  <si>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</si>
  <si>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</si>
  <si>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</si>
  <si>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</si>
  <si>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</si>
  <si>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</si>
  <si>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</si>
  <si>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</si>
  <si>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</si>
  <si>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</si>
  <si>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</si>
  <si>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</si>
  <si>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</si>
  <si>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</si>
  <si>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</si>
  <si>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</si>
  <si>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</si>
  <si>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</si>
  <si>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</si>
  <si>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</si>
  <si>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</si>
  <si>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</si>
  <si>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</si>
  <si>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</si>
  <si>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</si>
  <si>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</si>
  <si>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</si>
  <si>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</si>
  <si>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</si>
  <si>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</si>
  <si>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</si>
  <si>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</si>
  <si>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</si>
  <si>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</si>
  <si>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</si>
  <si>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</si>
  <si>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</si>
  <si>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</si>
  <si>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</si>
  <si>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</si>
  <si>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</si>
  <si>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</si>
  <si>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</si>
  <si>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</si>
  <si>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</si>
  <si>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</si>
  <si>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</si>
  <si>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</si>
  <si>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</si>
  <si>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</si>
  <si>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</si>
  <si>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</si>
  <si>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</si>
  <si>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</si>
  <si>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</si>
  <si>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</si>
  <si>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</si>
  <si>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</si>
  <si>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</si>
  <si>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</si>
  <si>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</si>
  <si>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</si>
  <si>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</si>
  <si>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</si>
  <si>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</si>
  <si>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</si>
  <si>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</si>
  <si>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</si>
  <si>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</si>
  <si>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</si>
  <si>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</si>
  <si>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</si>
  <si>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</si>
  <si>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</si>
  <si>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</si>
  <si>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</si>
  <si>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</si>
  <si>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</si>
  <si>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</si>
  <si>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</si>
  <si>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</si>
  <si>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</si>
  <si>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</si>
  <si>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</si>
  <si>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</si>
  <si>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</si>
  <si>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</si>
  <si>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</si>
  <si>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</si>
  <si>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</si>
  <si>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</si>
  <si>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</si>
  <si>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</si>
  <si>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</si>
  <si>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</si>
  <si>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</si>
  <si>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</si>
  <si>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</si>
  <si>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</si>
  <si>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</si>
  <si>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</si>
  <si>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</si>
  <si>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</si>
  <si>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</si>
  <si>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</si>
  <si>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</si>
  <si>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</si>
  <si>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</si>
  <si>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</si>
  <si>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</si>
  <si>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</si>
  <si>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</si>
  <si>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</si>
  <si>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</si>
  <si>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</si>
  <si>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</si>
  <si>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</si>
  <si>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</si>
  <si>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</si>
  <si>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</si>
  <si>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</si>
  <si>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</si>
  <si>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</si>
  <si>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</si>
  <si>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</si>
  <si>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</si>
  <si>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</si>
  <si>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</si>
  <si>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</si>
  <si>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</si>
  <si>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</si>
  <si>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</si>
  <si>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</si>
  <si>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</si>
  <si>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</si>
  <si>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</si>
  <si>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</si>
  <si>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</si>
  <si>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</si>
  <si>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</si>
  <si>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</si>
  <si>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</si>
  <si>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</si>
  <si>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</si>
  <si>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</si>
  <si>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</si>
  <si>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</si>
  <si>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</si>
  <si>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</si>
  <si>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</si>
  <si>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</si>
  <si>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</si>
  <si>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</si>
  <si>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</si>
  <si>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</si>
  <si>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</si>
  <si>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</si>
  <si>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</si>
  <si>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</si>
  <si>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</si>
  <si>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</si>
  <si>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</si>
  <si>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</si>
  <si>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</si>
  <si>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</si>
  <si>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</si>
  <si>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</si>
  <si>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</si>
  <si>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</si>
  <si>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</si>
  <si>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</si>
  <si>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</si>
  <si>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</si>
  <si>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</si>
  <si>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</si>
  <si>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</si>
  <si>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</si>
  <si>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</si>
  <si>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</si>
  <si>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</si>
  <si>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</si>
  <si>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</si>
  <si>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</si>
  <si>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</si>
  <si>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</si>
  <si>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</si>
  <si>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</si>
  <si>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</si>
  <si>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</si>
  <si>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</si>
  <si>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</si>
  <si>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</si>
  <si>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</si>
  <si>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</si>
  <si>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</si>
  <si>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</si>
  <si>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</si>
  <si>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</si>
  <si>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</si>
  <si>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</si>
  <si>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</si>
  <si>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</si>
  <si>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</si>
  <si>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</si>
  <si>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</si>
  <si>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</si>
  <si>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</si>
  <si>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</si>
  <si>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</si>
  <si>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</si>
  <si>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</si>
  <si>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</si>
  <si>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</si>
  <si>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</si>
  <si>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</si>
  <si>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</si>
  <si>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</si>
  <si>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</si>
  <si>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</si>
  <si>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</si>
  <si>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</si>
  <si>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</si>
  <si>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</si>
  <si>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</si>
  <si>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</si>
  <si>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</si>
  <si>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</si>
  <si>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</si>
  <si>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</si>
  <si>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</si>
  <si>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</si>
  <si>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</si>
  <si>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</si>
  <si>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</si>
  <si>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</si>
  <si>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</si>
  <si>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</si>
  <si>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</si>
  <si>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</si>
  <si>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</si>
  <si>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</si>
  <si>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</si>
  <si>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</si>
  <si>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</si>
  <si>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</si>
  <si>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</si>
  <si>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</si>
  <si>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</si>
  <si>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</si>
  <si>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</si>
  <si>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</si>
  <si>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</si>
  <si>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</si>
  <si>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</si>
  <si>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</si>
  <si>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</si>
  <si>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</si>
  <si>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</si>
  <si>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</si>
  <si>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</si>
  <si>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</si>
  <si>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</si>
  <si>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</si>
  <si>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</si>
  <si>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</si>
  <si>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</si>
  <si>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</si>
  <si>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</si>
  <si>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</si>
  <si>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</si>
  <si>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</si>
  <si>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</si>
  <si>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</si>
  <si>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</si>
  <si>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</si>
  <si>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</si>
  <si>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</si>
  <si>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</si>
  <si>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</si>
  <si>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</si>
  <si>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</si>
  <si>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</si>
  <si>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</si>
  <si>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</si>
  <si>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</si>
  <si>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</si>
  <si>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</si>
  <si>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</si>
  <si>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</si>
  <si>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</si>
  <si>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</si>
  <si>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</si>
  <si>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</si>
  <si>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</si>
  <si>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</si>
  <si>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</si>
  <si>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</si>
  <si>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</si>
  <si>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</si>
  <si>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</si>
  <si>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</si>
  <si>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</si>
  <si>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</si>
  <si>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</si>
  <si>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</si>
  <si>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</si>
  <si>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</si>
  <si>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</si>
  <si>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</si>
  <si>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</si>
  <si>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</si>
  <si>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</si>
  <si>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</si>
  <si>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</si>
  <si>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</si>
  <si>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</si>
  <si>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</si>
  <si>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</si>
  <si>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</si>
  <si>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</si>
  <si>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</si>
  <si>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</si>
  <si>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</si>
  <si>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</si>
  <si>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</si>
  <si>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</si>
  <si>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</si>
  <si>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</si>
  <si>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</si>
  <si>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</si>
  <si>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</si>
  <si>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</si>
  <si>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</si>
  <si>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</si>
  <si>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</si>
  <si>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</si>
  <si>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</si>
  <si>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</si>
  <si>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</si>
  <si>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</si>
  <si>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</si>
  <si>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</si>
  <si>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</si>
  <si>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</si>
  <si>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</si>
  <si>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</si>
  <si>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</si>
  <si>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</si>
  <si>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</si>
  <si>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</si>
  <si>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</si>
  <si>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</si>
  <si>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</si>
  <si>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</si>
  <si>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</si>
  <si>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</si>
  <si>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</si>
  <si>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</si>
  <si>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</si>
  <si>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</si>
  <si>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</si>
  <si>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</si>
  <si>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</si>
  <si>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</si>
  <si>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</si>
  <si>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</si>
  <si>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</si>
  <si>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</si>
  <si>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</si>
  <si>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</si>
  <si>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</si>
  <si>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</si>
  <si>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</si>
  <si>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</si>
  <si>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</si>
  <si>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</si>
  <si>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</si>
  <si>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</si>
  <si>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</si>
  <si>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</si>
  <si>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</si>
  <si>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</si>
  <si>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</si>
  <si>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</si>
  <si>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</si>
  <si>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</si>
  <si>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</si>
  <si>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</si>
  <si>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</si>
  <si>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</si>
  <si>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</si>
  <si>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</si>
  <si>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</si>
  <si>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</si>
  <si>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</si>
  <si>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</si>
  <si>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</si>
  <si>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</si>
  <si>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</si>
  <si>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</si>
  <si>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</si>
  <si>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</si>
  <si>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</si>
  <si>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</si>
  <si>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</si>
  <si>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</si>
  <si>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</si>
  <si>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</si>
  <si>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</si>
  <si>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</si>
  <si>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</si>
  <si>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</si>
  <si>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</si>
  <si>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</si>
  <si>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</si>
  <si>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</si>
  <si>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</si>
  <si>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</si>
  <si>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</si>
  <si>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</si>
  <si>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</si>
  <si>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</si>
  <si>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</si>
  <si>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</si>
  <si>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</si>
  <si>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</si>
  <si>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</si>
  <si>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</si>
  <si>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</si>
  <si>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</si>
  <si>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</si>
  <si>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</si>
  <si>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</si>
  <si>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</si>
  <si>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</si>
  <si>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</si>
  <si>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</si>
  <si>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</si>
  <si>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</si>
  <si>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</si>
  <si>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</si>
  <si>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</si>
  <si>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</si>
  <si>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</si>
  <si>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</si>
  <si>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</si>
  <si>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</si>
  <si>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</si>
  <si>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</si>
  <si>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</si>
  <si>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</si>
  <si>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</si>
  <si>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</si>
  <si>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</si>
  <si>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</si>
  <si>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</si>
  <si>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</si>
  <si>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</si>
  <si>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</si>
  <si>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</si>
  <si>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</si>
  <si>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</si>
  <si>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</si>
  <si>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</si>
  <si>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</si>
  <si>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</si>
  <si>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</si>
  <si>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</si>
  <si>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</si>
  <si>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</si>
  <si>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</si>
  <si>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</si>
  <si>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</si>
  <si>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</si>
  <si>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</si>
  <si>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</si>
  <si>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</si>
  <si>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</si>
  <si>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</si>
  <si>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</si>
  <si>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</si>
  <si>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</si>
  <si>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</si>
  <si>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</si>
  <si>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</si>
  <si>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</si>
  <si>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</si>
  <si>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</si>
  <si>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</si>
  <si>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</si>
  <si>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</si>
  <si>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</si>
  <si>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</si>
  <si>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</si>
  <si>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</si>
  <si>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</si>
  <si>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</si>
  <si>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</si>
  <si>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</si>
  <si>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</si>
  <si>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</si>
  <si>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</si>
  <si>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</si>
  <si>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</si>
  <si>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</si>
  <si>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</si>
  <si>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</si>
  <si>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</si>
  <si>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</si>
  <si>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</si>
  <si>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</si>
  <si>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</si>
  <si>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</si>
  <si>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</si>
  <si>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</si>
  <si>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</si>
  <si>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</si>
  <si>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</si>
  <si>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</si>
  <si>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</si>
  <si>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</si>
  <si>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</si>
  <si>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</si>
  <si>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</si>
  <si>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</si>
  <si>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</si>
  <si>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</si>
  <si>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</si>
  <si>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</si>
  <si>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</si>
  <si>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</si>
  <si>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</si>
  <si>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</si>
  <si>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</si>
  <si>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</si>
  <si>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</si>
  <si>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</si>
  <si>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</si>
  <si>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</si>
  <si>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</si>
  <si>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</si>
  <si>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</si>
  <si>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</si>
  <si>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</si>
  <si>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</si>
  <si>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</si>
  <si>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</si>
  <si>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</si>
  <si>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</si>
  <si>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</si>
  <si>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</si>
  <si>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</si>
  <si>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</si>
  <si>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</si>
  <si>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</si>
  <si>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</si>
  <si>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</si>
  <si>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</si>
  <si>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</si>
  <si>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</si>
  <si>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</si>
  <si>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</si>
  <si>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</si>
  <si>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</si>
  <si>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</si>
  <si>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</si>
  <si>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</si>
  <si>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</si>
  <si>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</si>
  <si>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</si>
  <si>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</si>
  <si>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</si>
  <si>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</si>
  <si>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</si>
  <si>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</si>
  <si>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</si>
  <si>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</si>
  <si>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</si>
  <si>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</si>
  <si>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</si>
  <si>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</si>
  <si>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</si>
  <si>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</si>
  <si>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</si>
  <si>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</si>
  <si>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</si>
  <si>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</si>
  <si>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</si>
  <si>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</si>
  <si>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</si>
  <si>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</si>
  <si>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</si>
  <si>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</si>
  <si>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</si>
  <si>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</si>
  <si>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</si>
  <si>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</si>
  <si>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</si>
  <si>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</si>
  <si>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</si>
  <si>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</si>
  <si>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</si>
  <si>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</si>
  <si>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</si>
  <si>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</si>
  <si>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</si>
  <si>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</si>
  <si>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</si>
  <si>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</si>
  <si>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</si>
  <si>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</si>
  <si>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</si>
  <si>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</si>
  <si>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</si>
  <si>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</si>
  <si>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</si>
  <si>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</si>
  <si>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</si>
  <si>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</si>
  <si>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</si>
  <si>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</si>
  <si>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</si>
  <si>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</si>
  <si>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</si>
  <si>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</si>
  <si>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</si>
  <si>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</si>
  <si>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</si>
  <si>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</si>
  <si>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</si>
  <si>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</si>
  <si>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</si>
  <si>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</si>
  <si>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</si>
  <si>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</si>
  <si>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</si>
  <si>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</si>
  <si>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</si>
  <si>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</si>
  <si>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</si>
  <si>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</si>
  <si>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</si>
  <si>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</si>
  <si>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</si>
  <si>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</si>
  <si>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</si>
  <si>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</si>
  <si>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</si>
  <si>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</si>
  <si>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</si>
  <si>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</si>
  <si>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</si>
  <si>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</si>
  <si>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</si>
  <si>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</si>
  <si>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</si>
  <si>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</si>
  <si>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</si>
  <si>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</si>
  <si>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</si>
  <si>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</si>
  <si>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</si>
  <si>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</si>
  <si>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</si>
  <si>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</si>
  <si>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</si>
  <si>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</si>
  <si>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</si>
  <si>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</si>
  <si>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</si>
  <si>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</si>
  <si>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</si>
  <si>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</si>
  <si>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</si>
  <si>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</si>
  <si>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</si>
  <si>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</si>
  <si>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</si>
  <si>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</si>
  <si>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</si>
  <si>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</si>
  <si>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</si>
  <si>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</si>
  <si>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</si>
  <si>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</si>
  <si>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</si>
  <si>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</si>
  <si>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</si>
  <si>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</si>
  <si>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</si>
  <si>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</si>
  <si>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</si>
  <si>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</si>
  <si>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</si>
  <si>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</si>
  <si>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</si>
  <si>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</si>
  <si>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</si>
  <si>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</si>
  <si>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</si>
  <si>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</si>
  <si>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</si>
  <si>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</si>
  <si>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</si>
  <si>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</si>
  <si>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</si>
  <si>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</si>
  <si>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</si>
  <si>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</si>
  <si>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</si>
  <si>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</si>
  <si>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</si>
  <si>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</si>
  <si>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</si>
  <si>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</si>
  <si>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</si>
  <si>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</si>
  <si>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</si>
  <si>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</si>
  <si>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</si>
  <si>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</si>
  <si>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</si>
  <si>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</si>
  <si>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</si>
  <si>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</si>
  <si>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</si>
  <si>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</si>
  <si>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</si>
  <si>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</si>
  <si>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</si>
  <si>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</si>
  <si>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</si>
  <si>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</si>
  <si>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</si>
  <si>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</si>
  <si>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</si>
  <si>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</si>
  <si>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</si>
  <si>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</si>
  <si>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</si>
  <si>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</si>
  <si>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</si>
  <si>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</si>
  <si>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</si>
  <si>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</si>
  <si>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</si>
  <si>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</si>
  <si>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</si>
  <si>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</si>
  <si>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</si>
  <si>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</si>
  <si>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</si>
  <si>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</si>
  <si>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</si>
  <si>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</si>
  <si>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</si>
  <si>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</si>
  <si>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</si>
  <si>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</si>
  <si>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</si>
  <si>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</si>
  <si>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</si>
  <si>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</si>
  <si>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</si>
  <si>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</si>
  <si>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</si>
  <si>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</si>
  <si>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</si>
  <si>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</si>
  <si>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</si>
  <si>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</si>
  <si>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</si>
  <si>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</si>
  <si>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</si>
  <si>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</si>
  <si>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</si>
  <si>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</si>
  <si>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</si>
  <si>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</si>
  <si>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</si>
  <si>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</si>
  <si>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</si>
  <si>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</si>
  <si>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</si>
  <si>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</si>
  <si>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</si>
  <si>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</si>
  <si>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</si>
  <si>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</si>
  <si>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</si>
  <si>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</si>
  <si>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</si>
  <si>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</si>
  <si>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</si>
  <si>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</si>
  <si>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</si>
  <si>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</si>
  <si>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</si>
  <si>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</si>
  <si>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</si>
  <si>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</si>
  <si>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</si>
  <si>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</si>
  <si>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</si>
  <si>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</si>
  <si>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</si>
  <si>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</si>
  <si>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</si>
  <si>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</si>
  <si>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</si>
  <si>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</si>
  <si>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</si>
  <si>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</si>
  <si>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</si>
  <si>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</si>
  <si>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</si>
  <si>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</si>
  <si>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</si>
  <si>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</si>
  <si>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</si>
  <si>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</si>
  <si>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</si>
  <si>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</si>
  <si>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</si>
  <si>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</si>
  <si>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</si>
  <si>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</si>
  <si>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</si>
  <si>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</si>
  <si>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</si>
  <si>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</si>
  <si>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</si>
  <si>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</si>
  <si>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</si>
  <si>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</si>
  <si>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</si>
  <si>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</si>
  <si>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</si>
  <si>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</si>
  <si>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</si>
  <si>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</si>
  <si>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</si>
  <si>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</si>
  <si>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</si>
  <si>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</si>
  <si>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</si>
  <si>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</si>
  <si>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</si>
  <si>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</si>
  <si>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</si>
  <si>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</si>
  <si>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</si>
  <si>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</si>
  <si>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</si>
  <si>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</si>
  <si>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</si>
  <si>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</si>
  <si>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</si>
  <si>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</si>
  <si>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</si>
  <si>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</si>
  <si>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</si>
  <si>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</si>
  <si>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</si>
  <si>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</si>
  <si>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</si>
  <si>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</si>
  <si>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</si>
  <si>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</si>
  <si>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</si>
  <si>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</si>
  <si>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</si>
  <si>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</si>
  <si>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</si>
  <si>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</si>
  <si>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</si>
  <si>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</si>
  <si>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</si>
  <si>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</si>
  <si>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</si>
  <si>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</si>
  <si>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</si>
  <si>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</si>
  <si>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</si>
  <si>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</si>
  <si>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</si>
  <si>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</si>
  <si>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</si>
  <si>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</si>
  <si>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</si>
  <si>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</si>
  <si>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</si>
  <si>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</si>
  <si>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</si>
  <si>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</si>
  <si>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</si>
  <si>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</si>
  <si>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</si>
  <si>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</si>
  <si>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</si>
  <si>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</si>
  <si>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</si>
  <si>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</si>
  <si>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</si>
  <si>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</si>
  <si>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</si>
  <si>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</si>
  <si>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</si>
  <si>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</si>
  <si>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</si>
  <si>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</si>
  <si>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</si>
  <si>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</si>
  <si>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</si>
  <si>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</si>
  <si>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</si>
  <si>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</si>
  <si>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</si>
  <si>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</si>
  <si>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</si>
  <si>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</si>
  <si>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</si>
  <si>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</si>
  <si>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</si>
  <si>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</si>
  <si>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</si>
  <si>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</si>
  <si>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</si>
  <si>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</si>
  <si>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</si>
  <si>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</si>
  <si>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</si>
  <si>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</si>
  <si>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</si>
  <si>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</si>
  <si>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</si>
  <si>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</si>
  <si>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</si>
  <si>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</si>
  <si>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</si>
  <si>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</si>
  <si>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</si>
  <si>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</si>
  <si>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</si>
  <si>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</si>
  <si>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</si>
  <si>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</si>
  <si>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</si>
  <si>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</si>
  <si>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</si>
  <si>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</si>
  <si>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</si>
  <si>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</si>
  <si>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</si>
  <si>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</si>
  <si>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</si>
  <si>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</si>
  <si>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</si>
  <si>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</si>
  <si>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</si>
  <si>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</si>
  <si>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</si>
  <si>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</si>
  <si>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</si>
  <si>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</si>
  <si>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</si>
  <si>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</si>
  <si>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</si>
  <si>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</si>
  <si>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</si>
  <si>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</si>
  <si>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</si>
  <si>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</si>
  <si>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</si>
  <si>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</si>
  <si>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</si>
  <si>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</si>
  <si>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</si>
  <si>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</si>
  <si>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</si>
  <si>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</si>
  <si>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</si>
  <si>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</si>
  <si>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</si>
  <si>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</si>
  <si>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</si>
  <si>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</si>
  <si>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</si>
  <si>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</si>
  <si>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</si>
  <si>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</si>
  <si>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</si>
  <si>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</si>
  <si>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</si>
  <si>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</si>
  <si>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</si>
  <si>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</si>
  <si>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</si>
  <si>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</si>
  <si>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</si>
  <si>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</si>
  <si>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</si>
  <si>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</si>
  <si>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</si>
  <si>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</si>
  <si>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</si>
  <si>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</si>
  <si>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</si>
  <si>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</si>
  <si>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</si>
  <si>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</si>
  <si>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</si>
  <si>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</si>
  <si>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</si>
  <si>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</si>
  <si>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</si>
  <si>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</si>
  <si>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</si>
  <si>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</si>
  <si>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</si>
  <si>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</si>
  <si>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</si>
  <si>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</si>
  <si>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</si>
  <si>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</si>
  <si>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</si>
  <si>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</si>
  <si>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</si>
  <si>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</si>
  <si>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</si>
  <si>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</si>
  <si>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</si>
  <si>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</si>
  <si>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</si>
  <si>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</si>
  <si>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</si>
  <si>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</si>
  <si>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</si>
  <si>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</si>
  <si>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</si>
  <si>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</si>
  <si>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</si>
  <si>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</si>
  <si>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</si>
  <si>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</si>
  <si>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</si>
  <si>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</si>
  <si>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</si>
  <si>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</si>
  <si>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</si>
  <si>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</si>
  <si>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</si>
  <si>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</si>
  <si>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</si>
  <si>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</si>
  <si>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</si>
  <si>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</si>
  <si>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</si>
  <si>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</si>
  <si>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</si>
  <si>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</si>
  <si>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</si>
  <si>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</si>
  <si>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</si>
  <si>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</si>
  <si>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</si>
  <si>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</si>
  <si>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</si>
  <si>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</si>
  <si>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</si>
  <si>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</si>
  <si>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</si>
  <si>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</si>
  <si>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</si>
  <si>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</si>
  <si>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</si>
  <si>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</si>
  <si>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</si>
  <si>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</si>
  <si>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</si>
  <si>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</si>
  <si>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</si>
  <si>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</si>
  <si>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</si>
  <si>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</si>
  <si>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</si>
  <si>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</si>
  <si>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</si>
  <si>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</si>
  <si>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</si>
  <si>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</si>
  <si>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</si>
  <si>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</si>
  <si>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</si>
  <si>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</si>
  <si>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</si>
  <si>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</si>
  <si>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</si>
  <si>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</si>
  <si>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</si>
  <si>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</si>
  <si>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</si>
  <si>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</si>
  <si>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</si>
  <si>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</si>
  <si>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</si>
  <si>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</si>
  <si>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</si>
  <si>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</si>
  <si>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</si>
  <si>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</si>
  <si>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</si>
  <si>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</si>
  <si>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</si>
  <si>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</si>
  <si>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</si>
  <si>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</si>
  <si>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</si>
  <si>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</si>
  <si>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</si>
  <si>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</si>
  <si>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</si>
  <si>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</si>
  <si>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</si>
  <si>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</si>
  <si>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</si>
  <si>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</si>
  <si>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</si>
  <si>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</si>
  <si>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</si>
  <si>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</si>
  <si>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</si>
  <si>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</si>
  <si>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</si>
  <si>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</si>
  <si>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</si>
  <si>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</si>
  <si>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</si>
  <si>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</si>
  <si>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</si>
  <si>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</si>
  <si>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</si>
  <si>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</si>
  <si>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</si>
  <si>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</si>
  <si>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</si>
  <si>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</si>
  <si>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</si>
  <si>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</si>
  <si>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</si>
  <si>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</si>
  <si>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</si>
  <si>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</si>
  <si>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</si>
  <si>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</si>
  <si>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</si>
  <si>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</si>
  <si>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</si>
  <si>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</si>
  <si>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</si>
  <si>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</si>
  <si>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</si>
  <si>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</si>
  <si>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</si>
  <si>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</si>
  <si>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</si>
  <si>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</si>
  <si>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</si>
  <si>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</si>
  <si>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</si>
  <si>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</si>
  <si>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</si>
  <si>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</si>
  <si>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</si>
  <si>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</si>
  <si>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</si>
  <si>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</si>
  <si>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</si>
  <si>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</si>
  <si>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</si>
  <si>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</si>
  <si>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</si>
  <si>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</si>
  <si>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</si>
  <si>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</si>
  <si>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</si>
  <si>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</si>
  <si>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</si>
  <si>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</si>
  <si>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</si>
  <si>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</si>
  <si>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</si>
  <si>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</si>
  <si>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</si>
  <si>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</si>
  <si>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</si>
  <si>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</si>
  <si>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</si>
  <si>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</si>
  <si>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</si>
  <si>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</si>
  <si>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</si>
  <si>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</si>
  <si>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</si>
  <si>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</si>
  <si>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</si>
  <si>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</si>
  <si>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</si>
  <si>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</si>
  <si>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</si>
  <si>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</si>
  <si>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</si>
  <si>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</si>
  <si>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</si>
  <si>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</si>
  <si>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</si>
  <si>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</si>
  <si>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</si>
  <si>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</si>
  <si>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</si>
  <si>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</si>
  <si>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</si>
  <si>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</si>
  <si>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</si>
  <si>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</si>
  <si>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</si>
  <si>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</si>
  <si>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</si>
  <si>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</si>
  <si>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</si>
  <si>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</si>
  <si>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</si>
  <si>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</si>
  <si>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</si>
  <si>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</si>
  <si>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</si>
  <si>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</si>
  <si>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</si>
  <si>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</si>
  <si>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</si>
  <si>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</si>
  <si>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</si>
  <si>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</si>
  <si>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</si>
  <si>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</si>
  <si>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</si>
  <si>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</si>
  <si>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</si>
  <si>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</si>
  <si>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</si>
  <si>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</si>
  <si>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</si>
  <si>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</si>
  <si>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</si>
  <si>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</si>
  <si>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</si>
  <si>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</si>
  <si>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</si>
  <si>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</si>
  <si>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</si>
  <si>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</si>
  <si>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</si>
  <si>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</si>
  <si>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</si>
  <si>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</si>
  <si>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</si>
  <si>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</si>
  <si>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</si>
  <si>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</si>
  <si>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</si>
  <si>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</si>
  <si>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</si>
  <si>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</si>
  <si>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</si>
  <si>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</si>
  <si>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</si>
  <si>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</si>
  <si>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</si>
  <si>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</si>
  <si>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</si>
  <si>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</si>
  <si>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</si>
  <si>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</si>
  <si>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</si>
  <si>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</si>
  <si>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</si>
  <si>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</si>
  <si>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</si>
  <si>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</si>
  <si>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</si>
  <si>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</si>
  <si>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</si>
  <si>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</si>
  <si>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</si>
  <si>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</si>
  <si>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</si>
  <si>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</si>
  <si>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</si>
  <si>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</si>
  <si>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</si>
  <si>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</si>
  <si>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</si>
  <si>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</si>
  <si>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</si>
  <si>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</si>
  <si>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</si>
  <si>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</si>
  <si>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</si>
  <si>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</si>
  <si>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</si>
  <si>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</si>
  <si>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</si>
  <si>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</si>
  <si>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</si>
  <si>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</si>
  <si>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</si>
  <si>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</si>
  <si>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</si>
  <si>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</si>
  <si>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</si>
  <si>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</si>
  <si>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</si>
  <si>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</si>
  <si>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</si>
  <si>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</si>
  <si>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</si>
  <si>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</si>
  <si>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</si>
  <si>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</si>
  <si>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</si>
  <si>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</si>
  <si>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</si>
  <si>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</si>
  <si>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</si>
  <si>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</si>
  <si>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</si>
  <si>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</si>
  <si>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</si>
  <si>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</si>
  <si>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</si>
  <si>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</si>
  <si>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</si>
  <si>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</si>
  <si>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</si>
  <si>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</si>
  <si>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</si>
  <si>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</si>
  <si>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</si>
  <si>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</si>
  <si>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</si>
  <si>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</si>
  <si>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</si>
  <si>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</si>
  <si>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</si>
  <si>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</si>
  <si>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</si>
  <si>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</si>
  <si>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</si>
  <si>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</si>
  <si>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</si>
  <si>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</si>
  <si>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</si>
  <si>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</si>
  <si>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</si>
  <si>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</si>
  <si>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</si>
  <si>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</si>
  <si>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</si>
  <si>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</si>
  <si>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</si>
  <si>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</si>
  <si>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</si>
  <si>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</si>
  <si>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</si>
  <si>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</si>
  <si>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</si>
  <si>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</si>
  <si>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</si>
  <si>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</si>
  <si>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</si>
  <si>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</si>
  <si>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</si>
  <si>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</si>
  <si>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</si>
  <si>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</si>
  <si>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</si>
  <si>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</si>
  <si>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</si>
  <si>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</si>
  <si>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</si>
  <si>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</si>
  <si>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</si>
  <si>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</si>
  <si>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</si>
  <si>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</si>
  <si>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</si>
  <si>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</si>
  <si>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</si>
  <si>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</si>
  <si>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</si>
  <si>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</si>
  <si>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</si>
  <si>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</si>
  <si>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</si>
  <si>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</si>
  <si>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</si>
  <si>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</si>
  <si>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</si>
  <si>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</si>
  <si>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</si>
  <si>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</si>
  <si>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</si>
  <si>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</si>
  <si>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</si>
  <si>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</si>
  <si>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</si>
  <si>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</si>
  <si>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</si>
  <si>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</si>
  <si>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</si>
  <si>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</si>
  <si>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</si>
  <si>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</si>
  <si>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</si>
  <si>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</si>
  <si>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</si>
  <si>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</si>
  <si>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</si>
  <si>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</si>
  <si>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</si>
  <si>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</si>
  <si>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</si>
  <si>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</si>
  <si>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</si>
  <si>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</si>
  <si>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</si>
  <si>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</si>
  <si>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</si>
  <si>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</si>
  <si>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</si>
  <si>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</si>
  <si>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</si>
  <si>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</si>
  <si>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</si>
  <si>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</si>
  <si>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</si>
  <si>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</si>
  <si>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</si>
  <si>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</si>
  <si>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</si>
  <si>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</si>
  <si>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</si>
  <si>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</si>
  <si>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</si>
  <si>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</si>
  <si>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</si>
  <si>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</si>
  <si>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</si>
  <si>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</si>
  <si>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</si>
  <si>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</si>
  <si>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</si>
  <si>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</si>
  <si>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</si>
  <si>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</si>
  <si>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</si>
  <si>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</si>
  <si>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</si>
  <si>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</si>
  <si>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</si>
  <si>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</si>
  <si>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</si>
  <si>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</si>
  <si>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</si>
  <si>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</si>
  <si>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</si>
  <si>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</si>
  <si>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</si>
  <si>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</si>
  <si>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</si>
  <si>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</si>
  <si>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</si>
  <si>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</si>
  <si>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</si>
  <si>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</si>
  <si>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</si>
  <si>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</si>
  <si>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</si>
  <si>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</si>
  <si>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</si>
  <si>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</si>
  <si>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</si>
  <si>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</si>
  <si>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</si>
  <si>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</si>
  <si>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</si>
  <si>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</si>
  <si>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</si>
  <si>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</si>
  <si>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</si>
  <si>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</si>
  <si>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</si>
  <si>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</si>
  <si>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</si>
  <si>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</si>
  <si>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</si>
  <si>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</si>
  <si>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</si>
  <si>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</si>
  <si>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</si>
  <si>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</si>
  <si>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</si>
  <si>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</si>
  <si>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</si>
  <si>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</si>
  <si>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</si>
  <si>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</si>
  <si>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</si>
  <si>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</si>
  <si>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</si>
  <si>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</si>
  <si>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</si>
  <si>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</si>
  <si>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</si>
  <si>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</si>
  <si>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</si>
  <si>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</si>
  <si>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</si>
  <si>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</si>
  <si>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</si>
  <si>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</si>
  <si>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</si>
  <si>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</si>
  <si>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</si>
  <si>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</si>
  <si>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</si>
  <si>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</si>
  <si>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</si>
  <si>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</si>
  <si>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</si>
  <si>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</si>
  <si>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</si>
  <si>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</si>
  <si>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</si>
  <si>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</si>
  <si>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</si>
  <si>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</si>
  <si>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</si>
  <si>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</si>
  <si>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</si>
  <si>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</si>
  <si>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</si>
  <si>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</si>
  <si>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</si>
  <si>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</si>
  <si>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</si>
  <si>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</si>
  <si>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</si>
  <si>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</si>
  <si>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</si>
  <si>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</si>
  <si>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</si>
  <si>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</si>
  <si>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</si>
  <si>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</si>
  <si>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</si>
  <si>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</si>
  <si>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</si>
  <si>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</si>
  <si>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</si>
  <si>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</si>
  <si>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</si>
  <si>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</si>
  <si>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</si>
  <si>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</si>
  <si>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</si>
  <si>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</si>
  <si>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</si>
  <si>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</si>
  <si>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</si>
  <si>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</si>
  <si>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</si>
  <si>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</si>
  <si>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</si>
  <si>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</si>
  <si>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</si>
  <si>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</si>
  <si>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</si>
  <si>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</si>
  <si>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</si>
  <si>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</si>
  <si>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</si>
  <si>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</si>
  <si>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</si>
  <si>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</si>
  <si>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</si>
  <si>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</si>
  <si>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</si>
  <si>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</si>
  <si>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</si>
  <si>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</si>
  <si>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</si>
  <si>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</si>
  <si>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</si>
  <si>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</si>
  <si>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</si>
  <si>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</si>
  <si>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</si>
  <si>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</si>
  <si>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</si>
  <si>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</si>
  <si>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</si>
  <si>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</si>
  <si>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</si>
  <si>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</si>
  <si>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</si>
  <si>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</si>
  <si>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</si>
  <si>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</si>
  <si>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</si>
  <si>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</si>
  <si>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</si>
  <si>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</si>
  <si>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</si>
  <si>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</si>
  <si>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</si>
  <si>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</si>
  <si>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</si>
  <si>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</si>
  <si>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</si>
  <si>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</si>
  <si>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</si>
  <si>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</si>
  <si>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</si>
  <si>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</si>
  <si>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</si>
  <si>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</si>
  <si>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</si>
  <si>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</si>
  <si>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</si>
  <si>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</si>
  <si>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</si>
  <si>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</si>
  <si>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</si>
  <si>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</si>
  <si>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</si>
  <si>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</si>
  <si>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</si>
  <si>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</si>
  <si>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</si>
  <si>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</si>
  <si>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</si>
  <si>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</si>
  <si>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</si>
  <si>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</si>
  <si>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</si>
  <si>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</si>
  <si>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</si>
  <si>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</si>
  <si>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</si>
  <si>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</si>
  <si>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</si>
  <si>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</si>
  <si>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</si>
  <si>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</si>
  <si>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</si>
  <si>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</si>
  <si>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</si>
  <si>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</si>
  <si>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</si>
  <si>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</si>
  <si>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</si>
  <si>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</si>
  <si>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</si>
  <si>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</si>
  <si>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</si>
  <si>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</si>
  <si>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</si>
  <si>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</si>
  <si>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</si>
  <si>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</si>
  <si>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</si>
  <si>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</si>
  <si>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</si>
  <si>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</si>
  <si>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</si>
  <si>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</si>
  <si>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</si>
  <si>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</si>
  <si>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</si>
  <si>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</si>
  <si>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</si>
  <si>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</si>
  <si>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</si>
  <si>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</si>
  <si>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</si>
  <si>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</si>
  <si>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</si>
  <si>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</si>
  <si>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</si>
  <si>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</si>
  <si>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</si>
  <si>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</si>
  <si>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</si>
  <si>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</si>
  <si>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</si>
  <si>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</si>
  <si>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</si>
  <si>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</si>
  <si>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</si>
  <si>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</si>
  <si>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</si>
  <si>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</si>
  <si>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</si>
  <si>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</si>
  <si>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</si>
  <si>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</si>
  <si>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</si>
  <si>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</si>
  <si>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</si>
  <si>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</si>
  <si>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</si>
  <si>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</si>
  <si>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</si>
  <si>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</si>
  <si>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</si>
  <si>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</si>
  <si>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</si>
  <si>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</si>
  <si>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</si>
  <si>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</si>
  <si>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</si>
  <si>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</si>
  <si>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</si>
  <si>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</si>
  <si>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</si>
  <si>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</si>
  <si>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</si>
  <si>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</si>
  <si>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</si>
  <si>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</si>
  <si>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</si>
  <si>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</si>
  <si>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</si>
  <si>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</si>
  <si>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</si>
  <si>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</si>
  <si>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</si>
  <si>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</si>
  <si>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</si>
  <si>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</si>
  <si>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</si>
  <si>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</si>
  <si>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</si>
  <si>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</si>
  <si>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</si>
  <si>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</si>
  <si>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</si>
  <si>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</si>
  <si>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</si>
  <si>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</si>
  <si>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</si>
  <si>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</si>
  <si>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</si>
  <si>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</si>
  <si>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</si>
  <si>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</si>
  <si>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</si>
  <si>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</si>
  <si>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</si>
  <si>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</si>
  <si>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</si>
  <si>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</si>
  <si>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</si>
  <si>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</si>
  <si>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</si>
  <si>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</si>
  <si>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</si>
  <si>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</si>
  <si>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</si>
  <si>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</si>
  <si>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</si>
  <si>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</si>
  <si>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</si>
  <si>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</si>
  <si>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</si>
  <si>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</si>
  <si>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</si>
  <si>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</si>
  <si>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</si>
  <si>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</si>
  <si>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</si>
  <si>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</si>
  <si>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</si>
  <si>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</si>
  <si>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</si>
  <si>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</si>
  <si>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</si>
  <si>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</si>
  <si>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</si>
  <si>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</si>
  <si>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johan@jamilo.nl</t>
  </si>
  <si>
    <t>Johan Hendriks (Jamilo)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</si>
</sst>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zoomScaleNormal="100" workbookViewId="0">
      <selection activeCell="L56" sqref="L56"/>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Achtste Finale</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Polen</v>
      </c>
      <c r="AT11" s="292" t="str">
        <f ca="1">RIGHT(LEFT($AL$88,$BA11),2)</f>
        <v>D1</v>
      </c>
      <c r="AU11" s="291" t="str">
        <f ca="1">IF(AV11=$AR$11,$AQ$11,IF(AV11=$AR$12,$AQ$12,VLOOKUP(AV11,Voorblad!$X$67:$Z$98,2,FALSE)))</f>
        <v>Polen</v>
      </c>
      <c r="AV11" s="292" t="str">
        <f ca="1">RIGHT(LEFT($AL$89,$BA11),2)</f>
        <v>D1</v>
      </c>
      <c r="AW11" s="291" t="str">
        <f ca="1">IF(AX11=$AR$11,$AQ$11,IF(AX11=$AR$12,$AQ$12,VLOOKUP(AX11,Voorblad!$X$67:$Z$98,2,FALSE)))</f>
        <v>Denemarken</v>
      </c>
      <c r="AX11" s="292" t="str">
        <f ca="1">RIGHT(LEFT($AL$91,$BA11),2)</f>
        <v>C2</v>
      </c>
      <c r="AY11" s="291" t="str">
        <f ca="1">IF(AZ11=$AR$11,$AQ$11,IF(AZ11=$AR$12,$AQ$12,VLOOKUP(AZ11,Voorblad!$X$67:$Z$98,2,FALSE)))</f>
        <v>Denemarken</v>
      </c>
      <c r="AZ11" s="292" t="str">
        <f ca="1">RIGHT(LEFT($AL$92,$BA11),2)</f>
        <v>C2</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Slowakije</v>
      </c>
      <c r="AT12" s="292" t="str">
        <f t="shared" ref="AT12:AT27" ca="1" si="0">RIGHT(LEFT($AL$88,$BA12),2)</f>
        <v>E2</v>
      </c>
      <c r="AU12" s="291" t="str">
        <f ca="1">IF(AV12=$AR$11,$AQ$11,IF(AV12=$AR$12,$AQ$12,VLOOKUP(AV12,Voorblad!$X$67:$Z$98,2,FALSE)))</f>
        <v>Schotland</v>
      </c>
      <c r="AV12" s="292" t="str">
        <f t="shared" ref="AV12:AV27" ca="1" si="1">RIGHT(LEFT($AL$89,$BA12),2)</f>
        <v>A2</v>
      </c>
      <c r="AW12" s="291" t="str">
        <f ca="1">IF(AX12=$AR$11,$AQ$11,IF(AX12=$AR$12,$AQ$12,VLOOKUP(AX12,Voorblad!$X$67:$Z$98,2,FALSE)))</f>
        <v>Kroatië</v>
      </c>
      <c r="AX12" s="292" t="str">
        <f t="shared" ref="AX12:AX27" ca="1" si="2">RIGHT(LEFT($AL$91,$BA12),2)</f>
        <v>B2</v>
      </c>
      <c r="AY12" s="291" t="str">
        <f ca="1">IF(AZ12=$AR$11,$AQ$11,IF(AZ12=$AR$12,$AQ$12,VLOOKUP(AZ12,Voorblad!$X$67:$Z$98,2,FALSE)))</f>
        <v>Kroatië</v>
      </c>
      <c r="AZ12" s="292" t="str">
        <f t="shared" ref="AZ12:AZ23" ca="1" si="3">RIGHT(LEFT($AL$92,$BA12),2)</f>
        <v>B2</v>
      </c>
      <c r="BA12" s="672">
        <f t="shared" ref="BA12:BA27" si="4">BA11+2</f>
        <v>4</v>
      </c>
    </row>
    <row r="13" spans="1:59" ht="15" customHeight="1" x14ac:dyDescent="0.25">
      <c r="A13" s="173"/>
      <c r="B13" s="17"/>
      <c r="C13" s="949"/>
      <c r="D13" s="17"/>
      <c r="E13" s="939" t="str">
        <f ca="1">Taal04!$B$20</f>
        <v>Datum</v>
      </c>
      <c r="F13" s="939" t="str">
        <f ca="1">Taal04!$B$21</f>
        <v>Tijd</v>
      </c>
      <c r="G13" s="1204" t="str">
        <f ca="1">Taal04!$B$22</f>
        <v>Wedstrijd</v>
      </c>
      <c r="H13" s="1204"/>
      <c r="I13" s="1204"/>
      <c r="J13" s="1204"/>
      <c r="K13" s="1204"/>
      <c r="L13" s="1204"/>
      <c r="M13" s="1204"/>
      <c r="N13" s="1204"/>
      <c r="O13" s="1204"/>
      <c r="P13" s="1204"/>
      <c r="Q13" s="1204"/>
      <c r="R13" s="1204"/>
      <c r="S13" s="1204"/>
      <c r="T13" s="1204"/>
      <c r="U13" s="1204"/>
      <c r="V13" s="17"/>
      <c r="W13" s="1116" t="str">
        <f ca="1">Taal04!$B$24</f>
        <v>Eindstand</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Slowakije</v>
      </c>
      <c r="AV13" s="292" t="str">
        <f t="shared" ca="1" si="1"/>
        <v>E2</v>
      </c>
      <c r="AW13" s="291" t="str">
        <f ca="1">IF(AX13=$AR$11,$AQ$11,IF(AX13=$AR$12,$AQ$12,VLOOKUP(AX13,Voorblad!$X$67:$Z$98,2,FALSE)))</f>
        <v>Schotland</v>
      </c>
      <c r="AX13" s="292" t="str">
        <f t="shared" ca="1" si="2"/>
        <v>A2</v>
      </c>
      <c r="AY13" s="291" t="str">
        <f ca="1">IF(AZ13=$AR$11,$AQ$11,IF(AZ13=$AR$12,$AQ$12,VLOOKUP(AZ13,Voorblad!$X$67:$Z$98,2,FALSE)))</f>
        <v>Polen</v>
      </c>
      <c r="AZ13" s="292" t="str">
        <f t="shared" ca="1" si="3"/>
        <v>D1</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Nr.2 Groep A</v>
      </c>
      <c r="H14" s="1209"/>
      <c r="I14" s="1209"/>
      <c r="J14" s="1209"/>
      <c r="K14" s="1209"/>
      <c r="L14" s="668" t="s">
        <v>851</v>
      </c>
      <c r="M14" s="12"/>
      <c r="N14" s="666" t="str">
        <f ca="1">IF(AK14="LEEG","▼   ","")&amp;"-  "</f>
        <v xml:space="preserve">-  </v>
      </c>
      <c r="O14" s="1209" t="str">
        <f ca="1">" "&amp;Taal04!$B$75&amp;" B"</f>
        <v xml:space="preserve"> Nr.2 Groep B</v>
      </c>
      <c r="P14" s="1209"/>
      <c r="Q14" s="1209"/>
      <c r="R14" s="1209"/>
      <c r="S14" s="1209"/>
      <c r="T14" s="1209"/>
      <c r="U14" s="667" t="s">
        <v>2193</v>
      </c>
      <c r="V14" s="666" t="str">
        <f ca="1">IF(AL14="LEEG","▼   ","")&amp;": "</f>
        <v xml:space="preserve">: </v>
      </c>
      <c r="W14" s="738">
        <v>1</v>
      </c>
      <c r="X14" s="940" t="s">
        <v>12</v>
      </c>
      <c r="Y14" s="738">
        <v>2</v>
      </c>
      <c r="Z14" s="60"/>
      <c r="AA14" s="17"/>
      <c r="AB14" s="851">
        <f>IF(AND(AM14="GOED",AN14="GOED"),W14+Y14,0)</f>
        <v>3</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CHIT12|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Tsjechië</v>
      </c>
      <c r="AV14" s="292" t="str">
        <f t="shared" ca="1" si="1"/>
        <v>F4</v>
      </c>
      <c r="AW14" s="291" t="str">
        <f ca="1">IF(AX14=$AR$11,$AQ$11,IF(AX14=$AR$12,$AQ$12,VLOOKUP(AX14,Voorblad!$X$67:$Z$98,2,FALSE)))</f>
        <v>────────────────</v>
      </c>
      <c r="AX14" s="292" t="str">
        <f t="shared" ca="1" si="2"/>
        <v>&amp;&amp;</v>
      </c>
      <c r="AY14" s="291" t="str">
        <f ca="1">IF(AZ14=$AR$11,$AQ$11,IF(AZ14=$AR$12,$AQ$12,VLOOKUP(AZ14,Voorblad!$X$67:$Z$98,2,FALSE)))</f>
        <v>Schotland</v>
      </c>
      <c r="AZ14" s="292" t="str">
        <f t="shared" ca="1" si="3"/>
        <v>A2</v>
      </c>
      <c r="BA14" s="672">
        <f t="shared" si="4"/>
        <v>8</v>
      </c>
    </row>
    <row r="15" spans="1:59" ht="18.95" customHeight="1" x14ac:dyDescent="0.25">
      <c r="A15" s="173"/>
      <c r="B15" s="17"/>
      <c r="C15" s="949"/>
      <c r="D15" s="17"/>
      <c r="E15" s="17"/>
      <c r="F15" s="17"/>
      <c r="G15" s="1236" t="str">
        <f ca="1">IF($AB$9=1," "&amp;AC15,IF($AB$9=2,IF(AC14="OO"," "&amp;AC15,""),""))</f>
        <v xml:space="preserve"> Zwitserland</v>
      </c>
      <c r="H15" s="1236"/>
      <c r="I15" s="1236"/>
      <c r="J15" s="1236"/>
      <c r="K15" s="1236"/>
      <c r="L15" s="1236"/>
      <c r="M15" s="17"/>
      <c r="N15" s="17"/>
      <c r="O15" s="1236" t="str">
        <f ca="1">IF($AB$9=1," "&amp;AE15,IF($AB$9=2,IF(AE14="OO"," "&amp;AE15,""),""))</f>
        <v xml:space="preserve"> Spanje</v>
      </c>
      <c r="P15" s="1236"/>
      <c r="Q15" s="1236"/>
      <c r="R15" s="1236"/>
      <c r="S15" s="1236"/>
      <c r="T15" s="1236"/>
      <c r="U15" s="1236"/>
      <c r="V15" s="17"/>
      <c r="W15" s="17"/>
      <c r="X15" s="262"/>
      <c r="Y15" s="17"/>
      <c r="Z15" s="60"/>
      <c r="AA15" s="17"/>
      <c r="AB15" s="850"/>
      <c r="AC15" s="1208" t="str">
        <f ca="1">AM86</f>
        <v>Zwitserland</v>
      </c>
      <c r="AD15" s="1208"/>
      <c r="AE15" s="1208" t="str">
        <f ca="1">AO86</f>
        <v>Spanje</v>
      </c>
      <c r="AF15" s="1208"/>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Nr.1 Groep A</v>
      </c>
      <c r="H16" s="1209"/>
      <c r="I16" s="1209"/>
      <c r="J16" s="1209"/>
      <c r="K16" s="1209"/>
      <c r="L16" s="668" t="s">
        <v>1</v>
      </c>
      <c r="M16" s="665"/>
      <c r="N16" s="666" t="str">
        <f ca="1">IF(AK16="LEEG","▼   ","")&amp;"-  "</f>
        <v xml:space="preserve">-  </v>
      </c>
      <c r="O16" s="1209" t="str">
        <f ca="1">" "&amp;Taal04!$B$75&amp;" C"</f>
        <v xml:space="preserve"> Nr.2 Groep C</v>
      </c>
      <c r="P16" s="1209"/>
      <c r="Q16" s="1209"/>
      <c r="R16" s="1209"/>
      <c r="S16" s="1209"/>
      <c r="T16" s="1209"/>
      <c r="U16" s="668" t="s">
        <v>1853</v>
      </c>
      <c r="V16" s="666" t="str">
        <f ca="1">IF(AL16="LEEG","▼   ","")&amp;": "</f>
        <v xml:space="preserve">: </v>
      </c>
      <c r="W16" s="738">
        <v>2</v>
      </c>
      <c r="X16" s="940" t="s">
        <v>12</v>
      </c>
      <c r="Y16" s="738">
        <v>0</v>
      </c>
      <c r="Z16" s="60"/>
      <c r="AA16" s="17"/>
      <c r="AB16" s="851">
        <f>IF(AND(AM16="GOED",AN16="GOED"),W16+Y16,0)</f>
        <v>2</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C3</v>
      </c>
      <c r="AF16" s="235" t="str">
        <f ca="1">IF(AE16="OO","LEEG",IF(AE16="XX","FOUT",VLOOKUP(AE16,Voorblad!$X$65:$Z$98,3,FALSE)))</f>
        <v>RS</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DERS20|</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Duitsland</v>
      </c>
      <c r="AX16" s="292" t="str">
        <f t="shared" ca="1" si="2"/>
        <v>A1</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Duitsland</v>
      </c>
      <c r="H17" s="1236"/>
      <c r="I17" s="1236"/>
      <c r="J17" s="1236"/>
      <c r="K17" s="1236"/>
      <c r="L17" s="1236"/>
      <c r="M17" s="17"/>
      <c r="N17" s="17"/>
      <c r="O17" s="1236" t="str">
        <f ca="1">IF($AB$9=1," "&amp;AE17,IF($AB$9=2,IF(AE16="OO"," "&amp;AE17,""),""))</f>
        <v xml:space="preserve"> Servië</v>
      </c>
      <c r="P17" s="1236"/>
      <c r="Q17" s="1236"/>
      <c r="R17" s="1236"/>
      <c r="S17" s="1236"/>
      <c r="T17" s="1236"/>
      <c r="U17" s="1236"/>
      <c r="V17" s="17"/>
      <c r="W17" s="17"/>
      <c r="X17" s="262"/>
      <c r="Y17" s="17"/>
      <c r="Z17" s="60"/>
      <c r="AA17" s="17"/>
      <c r="AB17" s="850"/>
      <c r="AC17" s="1208" t="str">
        <f ca="1">AM87</f>
        <v>Duitsland</v>
      </c>
      <c r="AD17" s="1208"/>
      <c r="AE17" s="1208" t="str">
        <f ca="1">AO87</f>
        <v>Servië</v>
      </c>
      <c r="AF17" s="1208"/>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Engeland</v>
      </c>
      <c r="AX17" s="292" t="str">
        <f t="shared" ca="1" si="2"/>
        <v>C4</v>
      </c>
      <c r="AY17" s="291" t="str">
        <f ca="1">IF(AZ17=$AR$11,$AQ$11,IF(AZ17=$AR$12,$AQ$12,VLOOKUP(AZ17,Voorblad!$X$67:$Z$98,2,FALSE)))</f>
        <v>Duitsland</v>
      </c>
      <c r="AZ17" s="292" t="str">
        <f t="shared" ca="1" si="3"/>
        <v>A1</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Nr.1 Groep C</v>
      </c>
      <c r="H18" s="1209"/>
      <c r="I18" s="1209"/>
      <c r="J18" s="1209"/>
      <c r="K18" s="1209"/>
      <c r="L18" s="668" t="s">
        <v>854</v>
      </c>
      <c r="M18" s="665"/>
      <c r="N18" s="666" t="str">
        <f ca="1">IF(AK18="LEEG","▼   ","")&amp;"-  "</f>
        <v xml:space="preserve">-  </v>
      </c>
      <c r="O18" s="1209" t="str">
        <f ca="1">" "&amp;Taal04!$B$76&amp;" D/E/F"</f>
        <v xml:space="preserve"> Nr.3 Groep D/E/F</v>
      </c>
      <c r="P18" s="1209"/>
      <c r="Q18" s="1209"/>
      <c r="R18" s="1209"/>
      <c r="S18" s="1209"/>
      <c r="T18" s="1209"/>
      <c r="U18" s="668" t="s">
        <v>2466</v>
      </c>
      <c r="V18" s="666" t="str">
        <f ca="1">IF(AL18="LEEG","▼   ","")&amp;": "</f>
        <v xml:space="preserve">: </v>
      </c>
      <c r="W18" s="738">
        <v>2</v>
      </c>
      <c r="X18" s="940" t="s">
        <v>12</v>
      </c>
      <c r="Y18" s="738">
        <v>1</v>
      </c>
      <c r="Z18" s="60"/>
      <c r="AA18" s="17"/>
      <c r="AB18" s="851">
        <f>IF(AND(AM18="GOED",AN18="GOED"),W18+Y18,0)</f>
        <v>3</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D1</v>
      </c>
      <c r="AF18" s="235" t="str">
        <f ca="1">IF(AE18="OO","LEEG",IF(AE18="XX","FOUT",VLOOKUP(AE18,Voorblad!$X$65:$Z$98,3,FALSE)))</f>
        <v>PL</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GBPL21|</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Hongarije</v>
      </c>
      <c r="AX18" s="292" t="str">
        <f t="shared" ca="1" si="2"/>
        <v>A3</v>
      </c>
      <c r="AY18" s="291" t="str">
        <f ca="1">IF(AZ18=$AR$11,$AQ$11,IF(AZ18=$AR$12,$AQ$12,VLOOKUP(AZ18,Voorblad!$X$67:$Z$98,2,FALSE)))</f>
        <v>Engeland</v>
      </c>
      <c r="AZ18" s="292" t="str">
        <f t="shared" ca="1" si="3"/>
        <v>C4</v>
      </c>
      <c r="BA18" s="672">
        <f t="shared" si="4"/>
        <v>16</v>
      </c>
    </row>
    <row r="19" spans="1:53" ht="18.95" customHeight="1" x14ac:dyDescent="0.25">
      <c r="A19" s="173"/>
      <c r="B19" s="17"/>
      <c r="C19" s="949"/>
      <c r="D19" s="17"/>
      <c r="E19" s="17"/>
      <c r="F19" s="17"/>
      <c r="G19" s="1236" t="str">
        <f ca="1">IF($AB$9=1," "&amp;AC19,IF($AB$9=2,IF(AC18="OO"," "&amp;AC19,""),""))</f>
        <v xml:space="preserve"> Engeland</v>
      </c>
      <c r="H19" s="1236"/>
      <c r="I19" s="1236"/>
      <c r="J19" s="1236"/>
      <c r="K19" s="1236"/>
      <c r="L19" s="1236"/>
      <c r="M19" s="17"/>
      <c r="N19" s="17"/>
      <c r="O19" s="1236" t="str">
        <f ca="1">IF($AB$9=1," "&amp;AE19,IF($AB$9=2,IF(AE18="OO"," "&amp;AE19,""),""))</f>
        <v xml:space="preserve"> Polen / Slowakije / Tsjechië</v>
      </c>
      <c r="P19" s="1236"/>
      <c r="Q19" s="1236"/>
      <c r="R19" s="1236"/>
      <c r="S19" s="1236"/>
      <c r="T19" s="1236"/>
      <c r="U19" s="1236"/>
      <c r="V19" s="17"/>
      <c r="W19" s="17"/>
      <c r="X19" s="262"/>
      <c r="Y19" s="17"/>
      <c r="Z19" s="60"/>
      <c r="AA19" s="17"/>
      <c r="AB19" s="850"/>
      <c r="AC19" s="1208" t="str">
        <f ca="1">AM88</f>
        <v>Engeland</v>
      </c>
      <c r="AD19" s="1208"/>
      <c r="AE19" s="1208" t="str">
        <f ca="1">AO88</f>
        <v>Polen / Slowakije / Tsjechië</v>
      </c>
      <c r="AF19" s="1208"/>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Italië</v>
      </c>
      <c r="AX19" s="292" t="str">
        <f t="shared" ca="1" si="2"/>
        <v>B3</v>
      </c>
      <c r="AY19" s="291" t="str">
        <f ca="1">IF(AZ19=$AR$11,$AQ$11,IF(AZ19=$AR$12,$AQ$12,VLOOKUP(AZ19,Voorblad!$X$67:$Z$98,2,FALSE)))</f>
        <v>Frankrijk</v>
      </c>
      <c r="AZ19" s="292" t="str">
        <f t="shared" ca="1" si="3"/>
        <v>D4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Nr.1 Groep B</v>
      </c>
      <c r="H20" s="1209"/>
      <c r="I20" s="1209"/>
      <c r="J20" s="1209"/>
      <c r="K20" s="1209"/>
      <c r="L20" s="667" t="s">
        <v>856</v>
      </c>
      <c r="M20" s="665"/>
      <c r="N20" s="666" t="str">
        <f ca="1">IF(AK20="LEEG","▼   ","")&amp;"-  "</f>
        <v xml:space="preserve">-  </v>
      </c>
      <c r="O20" s="1209" t="str">
        <f ca="1">" "&amp;Taal04!$B$76&amp;" A/D/E/F"</f>
        <v xml:space="preserve"> Nr.3 Groep A/D/E/F</v>
      </c>
      <c r="P20" s="1209"/>
      <c r="Q20" s="1209"/>
      <c r="R20" s="1209"/>
      <c r="S20" s="1209"/>
      <c r="T20" s="1209"/>
      <c r="U20" s="668" t="s">
        <v>2189</v>
      </c>
      <c r="V20" s="666" t="str">
        <f ca="1">IF(AL20="LEEG","▼   ","")&amp;": "</f>
        <v xml:space="preserve">: </v>
      </c>
      <c r="W20" s="738">
        <v>2</v>
      </c>
      <c r="X20" s="940" t="s">
        <v>12</v>
      </c>
      <c r="Y20" s="738">
        <v>1</v>
      </c>
      <c r="Z20" s="60"/>
      <c r="AA20" s="17"/>
      <c r="AB20" s="851">
        <f>IF(AND(AM20="GOED",AN20="GOED"),W20+Y20,0)</f>
        <v>3</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A2</v>
      </c>
      <c r="AF20" s="235" t="str">
        <f ca="1">IF(AE20="OO","LEEG",IF(AE20="XX","FOUT",VLOOKUP(AE20,Voorblad!$X$65:$Z$98,3,FALSE)))</f>
        <v>SC</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ESSC21|</v>
      </c>
      <c r="AP20" s="91">
        <f ca="1">LEN(AO20)</f>
        <v>7</v>
      </c>
      <c r="AQ20" s="291" t="str">
        <f ca="1">VLOOKUP(AR20,Voorblad!$X$67:$Z$98,2,FALSE)</f>
        <v>Kroatië</v>
      </c>
      <c r="AR20" s="292" t="str">
        <f>AR18&amp;2</f>
        <v>B2</v>
      </c>
      <c r="AS20" s="291" t="str">
        <f ca="1">IF(AT20=$AR$11,$AQ$11,IF(AT20=$AR$12,$AQ$12,VLOOKUP(AT20,Voorblad!$X$67:$Z$98,2,FALSE)))</f>
        <v>Oostenrijk</v>
      </c>
      <c r="AT20" s="292" t="str">
        <f t="shared" ca="1" si="0"/>
        <v>D3</v>
      </c>
      <c r="AU20" s="291" t="str">
        <f ca="1">IF(AV20=$AR$11,$AQ$11,IF(AV20=$AR$12,$AQ$12,VLOOKUP(AV20,Voorblad!$X$67:$Z$98,2,FALSE)))</f>
        <v>Hongarije</v>
      </c>
      <c r="AV20" s="292" t="str">
        <f t="shared" ca="1" si="1"/>
        <v>A3</v>
      </c>
      <c r="AW20" s="291" t="str">
        <f ca="1">IF(AX20=$AR$11,$AQ$11,IF(AX20=$AR$12,$AQ$12,VLOOKUP(AX20,Voorblad!$X$67:$Z$98,2,FALSE)))</f>
        <v>Servië</v>
      </c>
      <c r="AX20" s="292" t="str">
        <f t="shared" ca="1" si="2"/>
        <v>C3</v>
      </c>
      <c r="AY20" s="291" t="str">
        <f ca="1">IF(AZ20=$AR$11,$AQ$11,IF(AZ20=$AR$12,$AQ$12,VLOOKUP(AZ20,Voorblad!$X$67:$Z$98,2,FALSE)))</f>
        <v>Hongarije</v>
      </c>
      <c r="AZ20" s="292" t="str">
        <f t="shared" ca="1" si="3"/>
        <v>A3</v>
      </c>
      <c r="BA20" s="672">
        <f t="shared" si="4"/>
        <v>20</v>
      </c>
    </row>
    <row r="21" spans="1:53" ht="18.95" customHeight="1" x14ac:dyDescent="0.4">
      <c r="A21" s="173"/>
      <c r="B21" s="17"/>
      <c r="C21" s="949"/>
      <c r="D21" s="17"/>
      <c r="E21" s="17"/>
      <c r="F21" s="17"/>
      <c r="G21" s="1236" t="str">
        <f ca="1">IF($AB$9=1," "&amp;AC21,IF($AB$9=2,IF(AC20="OO"," "&amp;AC21,""),""))</f>
        <v xml:space="preserve"> Italië</v>
      </c>
      <c r="H21" s="1236"/>
      <c r="I21" s="1236"/>
      <c r="J21" s="1236"/>
      <c r="K21" s="1236"/>
      <c r="L21" s="1236"/>
      <c r="M21" s="17"/>
      <c r="N21" s="17"/>
      <c r="O21" s="1236" t="str">
        <f ca="1">IF($AB$9=1," "&amp;AE21,IF($AB$9=2,IF(AE20="OO"," "&amp;AE21,""),""))</f>
        <v xml:space="preserve"> Polen / Schotland / Slowakije / Tsjechië</v>
      </c>
      <c r="P21" s="1236"/>
      <c r="Q21" s="1236"/>
      <c r="R21" s="1236"/>
      <c r="S21" s="1236"/>
      <c r="T21" s="1236"/>
      <c r="U21" s="1236"/>
      <c r="V21" s="17"/>
      <c r="W21" s="17"/>
      <c r="X21" s="17"/>
      <c r="Y21" s="17"/>
      <c r="Z21" s="958"/>
      <c r="AA21" s="17"/>
      <c r="AB21" s="850"/>
      <c r="AC21" s="1208" t="str">
        <f ca="1">AM89</f>
        <v>Italië</v>
      </c>
      <c r="AD21" s="1208"/>
      <c r="AE21" s="1208" t="str">
        <f ca="1">AO89</f>
        <v>Polen / Schotland / Slowakije / Tsjechië</v>
      </c>
      <c r="AF21" s="1208"/>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Nederland</v>
      </c>
      <c r="AV21" s="292" t="str">
        <f t="shared" ca="1" si="1"/>
        <v>D2</v>
      </c>
      <c r="AW21" s="291" t="str">
        <f ca="1">IF(AX21=$AR$11,$AQ$11,IF(AX21=$AR$12,$AQ$12,VLOOKUP(AX21,Voorblad!$X$67:$Z$98,2,FALSE)))</f>
        <v>Slovenië</v>
      </c>
      <c r="AX21" s="292" t="str">
        <f t="shared" ca="1" si="2"/>
        <v>C1</v>
      </c>
      <c r="AY21" s="291" t="str">
        <f ca="1">IF(AZ21=$AR$11,$AQ$11,IF(AZ21=$AR$12,$AQ$12,VLOOKUP(AZ21,Voorblad!$X$67:$Z$98,2,FALSE)))</f>
        <v>Italië</v>
      </c>
      <c r="AZ21" s="292" t="str">
        <f t="shared" ca="1" si="3"/>
        <v>B3</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Nr.2 Groep D</v>
      </c>
      <c r="H22" s="1209"/>
      <c r="I22" s="1209"/>
      <c r="J22" s="1209"/>
      <c r="K22" s="1209"/>
      <c r="L22" s="667" t="s">
        <v>853</v>
      </c>
      <c r="M22" s="665"/>
      <c r="N22" s="666" t="str">
        <f ca="1">IF(AK22="LEEG","▼   ","")&amp;"-  "</f>
        <v xml:space="preserve">-  </v>
      </c>
      <c r="O22" s="1209" t="str">
        <f ca="1">" "&amp;Taal04!$B$75&amp;" E"</f>
        <v xml:space="preserve"> Nr.2 Groep E</v>
      </c>
      <c r="P22" s="1209"/>
      <c r="Q22" s="1209"/>
      <c r="R22" s="1209"/>
      <c r="S22" s="1209"/>
      <c r="T22" s="1209"/>
      <c r="U22" s="667" t="s">
        <v>2202</v>
      </c>
      <c r="V22" s="666" t="str">
        <f ca="1">IF(AL22="LEEG","▼   ","")&amp;": "</f>
        <v xml:space="preserve">: </v>
      </c>
      <c r="W22" s="738">
        <v>2</v>
      </c>
      <c r="X22" s="940" t="s">
        <v>12</v>
      </c>
      <c r="Y22" s="738">
        <v>1</v>
      </c>
      <c r="Z22" s="958"/>
      <c r="AA22" s="17"/>
      <c r="AB22" s="851">
        <f>IF(AND(AM22="GOED",AN22="GOED"),W22+Y22,0)</f>
        <v>3</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E3</v>
      </c>
      <c r="AF22" s="235" t="str">
        <f ca="1">IF(AE22="OO","LEEG",IF(AE22="XX","FOUT",VLOOKUP(AE22,Voorblad!$X$65:$Z$98,3,FALSE)))</f>
        <v>RO</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NLRO21|</v>
      </c>
      <c r="AP22" s="91">
        <f ca="1">LEN(AO22)</f>
        <v>7</v>
      </c>
      <c r="AQ22" s="293" t="str">
        <f ca="1">VLOOKUP(AR22,Voorblad!$X$67:$Z$98,2,FALSE)</f>
        <v>Albanië</v>
      </c>
      <c r="AR22" s="295" t="str">
        <f>AR18&amp;4</f>
        <v>B4</v>
      </c>
      <c r="AS22" s="291" t="str">
        <f ca="1">IF(AT22=$AR$11,$AQ$11,IF(AT22=$AR$12,$AQ$12,VLOOKUP(AT22,Voorblad!$X$67:$Z$98,2,FALSE)))</f>
        <v>Roemenië</v>
      </c>
      <c r="AT22" s="292" t="str">
        <f t="shared" ca="1" si="0"/>
        <v>E3</v>
      </c>
      <c r="AU22" s="291" t="str">
        <f ca="1">IF(AV22=$AR$11,$AQ$11,IF(AV22=$AR$12,$AQ$12,VLOOKUP(AV22,Voorblad!$X$67:$Z$98,2,FALSE)))</f>
        <v>Oekraïne</v>
      </c>
      <c r="AV22" s="292" t="str">
        <f t="shared" ca="1" si="1"/>
        <v>E4</v>
      </c>
      <c r="AW22" s="291" t="str">
        <f ca="1">IF(AX22=$AR$11,$AQ$11,IF(AX22=$AR$12,$AQ$12,VLOOKUP(AX22,Voorblad!$X$67:$Z$98,2,FALSE)))</f>
        <v>Spanje</v>
      </c>
      <c r="AX22" s="292" t="str">
        <f t="shared" ca="1" si="2"/>
        <v>B1</v>
      </c>
      <c r="AY22" s="291" t="str">
        <f ca="1">IF(AZ22=$AR$11,$AQ$11,IF(AZ22=$AR$12,$AQ$12,VLOOKUP(AZ22,Voorblad!$X$67:$Z$98,2,FALSE)))</f>
        <v>Nederland</v>
      </c>
      <c r="AZ22" s="292" t="str">
        <f t="shared" ca="1" si="3"/>
        <v>D2</v>
      </c>
      <c r="BA22" s="672">
        <f t="shared" si="4"/>
        <v>24</v>
      </c>
    </row>
    <row r="23" spans="1:53" ht="18.95" customHeight="1" x14ac:dyDescent="0.25">
      <c r="A23" s="173"/>
      <c r="B23" s="17"/>
      <c r="C23" s="949"/>
      <c r="D23" s="17"/>
      <c r="E23" s="17"/>
      <c r="F23" s="17"/>
      <c r="G23" s="1236" t="str">
        <f ca="1">IF($AB$9=1," "&amp;AC23,IF($AB$9=2,IF(AC22="OO"," "&amp;AC23,""),""))</f>
        <v xml:space="preserve"> Nederland</v>
      </c>
      <c r="H23" s="1236"/>
      <c r="I23" s="1236"/>
      <c r="J23" s="1236"/>
      <c r="K23" s="1236"/>
      <c r="L23" s="1236"/>
      <c r="M23" s="17"/>
      <c r="N23" s="17"/>
      <c r="O23" s="1236" t="str">
        <f ca="1">IF($AB$9=1," "&amp;AE23,IF($AB$9=2,IF(AE22="OO"," "&amp;AE23,""),""))</f>
        <v xml:space="preserve"> Roemenië</v>
      </c>
      <c r="P23" s="1236"/>
      <c r="Q23" s="1236"/>
      <c r="R23" s="1236"/>
      <c r="S23" s="1236"/>
      <c r="T23" s="1236"/>
      <c r="U23" s="1236"/>
      <c r="V23" s="17"/>
      <c r="W23" s="17"/>
      <c r="X23" s="262"/>
      <c r="Y23" s="17"/>
      <c r="Z23" s="958"/>
      <c r="AA23" s="17"/>
      <c r="AB23" s="850"/>
      <c r="AC23" s="1208" t="str">
        <f ca="1">AM90</f>
        <v>Nederland</v>
      </c>
      <c r="AD23" s="1208"/>
      <c r="AE23" s="1208" t="str">
        <f ca="1">AO90</f>
        <v>Roemenië</v>
      </c>
      <c r="AF23" s="1208"/>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Oostenrijk</v>
      </c>
      <c r="AV23" s="292" t="str">
        <f t="shared" ca="1" si="1"/>
        <v>D3</v>
      </c>
      <c r="AW23" s="291" t="str">
        <f ca="1">IF(AX23=$AR$11,$AQ$11,IF(AX23=$AR$12,$AQ$12,VLOOKUP(AX23,Voorblad!$X$67:$Z$98,2,FALSE)))</f>
        <v>Zwitserland</v>
      </c>
      <c r="AX23" s="292" t="str">
        <f t="shared" ca="1" si="2"/>
        <v>A4</v>
      </c>
      <c r="AY23" s="291" t="str">
        <f ca="1">IF(AZ23=$AR$11,$AQ$11,IF(AZ23=$AR$12,$AQ$12,VLOOKUP(AZ23,Voorblad!$X$67:$Z$98,2,FALSE)))</f>
        <v>Oostenrijk</v>
      </c>
      <c r="AZ23" s="292" t="str">
        <f t="shared" ca="1" si="3"/>
        <v>D3</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Nr.1 Groep F</v>
      </c>
      <c r="H24" s="1209"/>
      <c r="I24" s="1209"/>
      <c r="J24" s="1209"/>
      <c r="K24" s="1209"/>
      <c r="L24" s="667" t="s">
        <v>466</v>
      </c>
      <c r="M24" s="665"/>
      <c r="N24" s="666" t="str">
        <f ca="1">IF(AK24="LEEG","▼   ","")&amp;"-  "</f>
        <v xml:space="preserve">-  </v>
      </c>
      <c r="O24" s="1209" t="str">
        <f ca="1">" "&amp;Taal04!$B$76&amp;" A/B/C"</f>
        <v xml:space="preserve"> Nr.3 Groep A/B/C</v>
      </c>
      <c r="P24" s="1209"/>
      <c r="Q24" s="1209"/>
      <c r="R24" s="1209"/>
      <c r="S24" s="1209"/>
      <c r="T24" s="1209"/>
      <c r="U24" s="668" t="s">
        <v>855</v>
      </c>
      <c r="V24" s="666" t="str">
        <f ca="1">IF(AL24="LEEG","▼   ","")&amp;": "</f>
        <v xml:space="preserve">: </v>
      </c>
      <c r="W24" s="738">
        <v>2</v>
      </c>
      <c r="X24" s="940" t="s">
        <v>12</v>
      </c>
      <c r="Y24" s="738">
        <v>1</v>
      </c>
      <c r="Z24" s="958"/>
      <c r="AA24" s="17"/>
      <c r="AB24" s="851">
        <f>IF(AND(AM24="GOED",AN24="GOED"),W24+Y24,0)</f>
        <v>3</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PTHR21|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Servië</v>
      </c>
      <c r="AZ24" s="292" t="str">
        <f ca="1">RIGHT(LEFT($AL$92,$BA24),2)</f>
        <v>C3</v>
      </c>
      <c r="BA24" s="292">
        <f t="shared" si="4"/>
        <v>28</v>
      </c>
    </row>
    <row r="25" spans="1:53" ht="18.95" customHeight="1" x14ac:dyDescent="0.25">
      <c r="A25" s="173"/>
      <c r="B25" s="17"/>
      <c r="C25" s="949"/>
      <c r="D25" s="17"/>
      <c r="E25" s="17"/>
      <c r="F25" s="17"/>
      <c r="G25" s="1236" t="str">
        <f ca="1">IF($AB$9=1," "&amp;AC25,IF($AB$9=2,IF(AC24="OO"," "&amp;AC25,""),""))</f>
        <v xml:space="preserve"> Portugal</v>
      </c>
      <c r="H25" s="1236"/>
      <c r="I25" s="1236"/>
      <c r="J25" s="1236"/>
      <c r="K25" s="1236"/>
      <c r="L25" s="1236"/>
      <c r="M25" s="17"/>
      <c r="N25" s="17"/>
      <c r="O25" s="1236" t="str">
        <f ca="1">IF($AB$9=1," "&amp;AE25,IF($AB$9=2,IF(AE24="OO"," "&amp;AE25,""),""))</f>
        <v xml:space="preserve"> Denemarken / Kroatië / Schotland</v>
      </c>
      <c r="P25" s="1236"/>
      <c r="Q25" s="1236"/>
      <c r="R25" s="1236"/>
      <c r="S25" s="1236"/>
      <c r="T25" s="1236"/>
      <c r="U25" s="1236"/>
      <c r="V25" s="17"/>
      <c r="W25" s="17"/>
      <c r="X25" s="262"/>
      <c r="Y25" s="17"/>
      <c r="Z25" s="958"/>
      <c r="AA25" s="17"/>
      <c r="AB25" s="850"/>
      <c r="AC25" s="1208" t="str">
        <f ca="1">AM91</f>
        <v>Portugal</v>
      </c>
      <c r="AD25" s="1208"/>
      <c r="AE25" s="1208" t="str">
        <f ca="1">AO91</f>
        <v>Denemarken / Kroatië / Schotland</v>
      </c>
      <c r="AF25" s="1208"/>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Roemenië</v>
      </c>
      <c r="AV25" s="292" t="str">
        <f t="shared" ca="1" si="1"/>
        <v>E3</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Nr.1 Groep E</v>
      </c>
      <c r="H26" s="1209"/>
      <c r="I26" s="1209"/>
      <c r="J26" s="1209"/>
      <c r="K26" s="1209"/>
      <c r="L26" s="667" t="s">
        <v>463</v>
      </c>
      <c r="M26" s="665"/>
      <c r="N26" s="666" t="str">
        <f ca="1">IF(AK26="LEEG","▼   ","")&amp;"-  "</f>
        <v xml:space="preserve">-  </v>
      </c>
      <c r="O26" s="1209" t="str">
        <f ca="1">" "&amp;Taal04!$B$76&amp;" A/B/C/D"</f>
        <v xml:space="preserve"> Nr.3 Groep A/B/C/D</v>
      </c>
      <c r="P26" s="1209"/>
      <c r="Q26" s="1209"/>
      <c r="R26" s="1209"/>
      <c r="S26" s="1209"/>
      <c r="T26" s="1209"/>
      <c r="U26" s="667" t="s">
        <v>852</v>
      </c>
      <c r="V26" s="666" t="str">
        <f ca="1">IF(AL26="LEEG","▼   ","")&amp;": "</f>
        <v xml:space="preserve">: </v>
      </c>
      <c r="W26" s="738">
        <v>2</v>
      </c>
      <c r="X26" s="940" t="s">
        <v>12</v>
      </c>
      <c r="Y26" s="738">
        <v>1</v>
      </c>
      <c r="Z26" s="958"/>
      <c r="AA26" s="17"/>
      <c r="AB26" s="851">
        <f>IF(AND(AM26="GOED",AN26="GOED"),W26+Y26,0)</f>
        <v>3</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C2</v>
      </c>
      <c r="AF26" s="235" t="str">
        <f ca="1">IF(AE26="OO","LEEG",IF(AE26="XX","FOUT",VLOOKUP(AE26,Voorblad!$X$65:$Z$98,3,FALSE)))</f>
        <v>DK</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BEDK21|</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36" t="str">
        <f ca="1">IF($AB$9=1," "&amp;AC27,IF($AB$9=2,IF(AC26="OO"," "&amp;AC27,""),""))</f>
        <v xml:space="preserve"> België</v>
      </c>
      <c r="H27" s="1236"/>
      <c r="I27" s="1236"/>
      <c r="J27" s="1236"/>
      <c r="K27" s="1236"/>
      <c r="L27" s="1236"/>
      <c r="M27" s="17"/>
      <c r="N27" s="17"/>
      <c r="O27" s="1236" t="str">
        <f ca="1">IF($AB$9=1," "&amp;AE27,IF($AB$9=2,IF(AE26="OO"," "&amp;AE27,""),""))</f>
        <v xml:space="preserve"> Denemarken / Kroatië / Polen / Schotland</v>
      </c>
      <c r="P27" s="1236"/>
      <c r="Q27" s="1236"/>
      <c r="R27" s="1236"/>
      <c r="S27" s="1236"/>
      <c r="T27" s="1236"/>
      <c r="U27" s="1236"/>
      <c r="V27" s="17"/>
      <c r="W27" s="17"/>
      <c r="X27" s="262"/>
      <c r="Y27" s="17"/>
      <c r="Z27" s="958"/>
      <c r="AA27" s="17"/>
      <c r="AB27" s="850"/>
      <c r="AC27" s="1208" t="str">
        <f ca="1">AM92</f>
        <v>België</v>
      </c>
      <c r="AD27" s="1208"/>
      <c r="AE27" s="1208" t="str">
        <f ca="1">AO92</f>
        <v>Denemarken / Kroatië / Polen / Schotland</v>
      </c>
      <c r="AF27" s="1208"/>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Nr.1 Groep D</v>
      </c>
      <c r="H28" s="1209"/>
      <c r="I28" s="1209"/>
      <c r="J28" s="1209"/>
      <c r="K28" s="1209"/>
      <c r="L28" s="667" t="s">
        <v>465</v>
      </c>
      <c r="M28" s="665"/>
      <c r="N28" s="666" t="str">
        <f ca="1">IF(AK28="LEEG","▼   ","")&amp;"-  "</f>
        <v xml:space="preserve">-  </v>
      </c>
      <c r="O28" s="1209" t="str">
        <f ca="1">" "&amp;Taal04!$B$75&amp;" F"</f>
        <v xml:space="preserve"> Nr.2 Groep F</v>
      </c>
      <c r="P28" s="1209"/>
      <c r="Q28" s="1209"/>
      <c r="R28" s="1209"/>
      <c r="S28" s="1209"/>
      <c r="T28" s="1209"/>
      <c r="U28" s="668" t="s">
        <v>2204</v>
      </c>
      <c r="V28" s="666" t="str">
        <f ca="1">IF(AL28="LEEG","▼   ","")&amp;": "</f>
        <v xml:space="preserve">: </v>
      </c>
      <c r="W28" s="738">
        <v>2</v>
      </c>
      <c r="X28" s="940" t="s">
        <v>12</v>
      </c>
      <c r="Y28" s="738">
        <v>0</v>
      </c>
      <c r="Z28" s="958"/>
      <c r="AA28" s="17"/>
      <c r="AB28" s="851">
        <f>IF(AND(AM28="GOED",AN28="GOED"),W28+Y28,0)</f>
        <v>2</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FRTR20|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Frankrijk</v>
      </c>
      <c r="H29" s="1207"/>
      <c r="I29" s="1207"/>
      <c r="J29" s="1207"/>
      <c r="K29" s="1207"/>
      <c r="L29" s="1207"/>
      <c r="M29" s="16"/>
      <c r="N29" s="16"/>
      <c r="O29" s="1207" t="str">
        <f ca="1">IF($AB$9=1," "&amp;AE29,IF($AB$9=2,IF(AE28="OO"," "&amp;AE29,""),""))</f>
        <v xml:space="preserve"> Turkije</v>
      </c>
      <c r="P29" s="1207"/>
      <c r="Q29" s="1207"/>
      <c r="R29" s="1207"/>
      <c r="S29" s="1207"/>
      <c r="T29" s="1207"/>
      <c r="U29" s="1207"/>
      <c r="V29" s="17"/>
      <c r="W29" s="17"/>
      <c r="X29" s="17"/>
      <c r="Y29" s="17"/>
      <c r="Z29" s="958"/>
      <c r="AA29" s="17"/>
      <c r="AB29" s="850"/>
      <c r="AC29" s="1208" t="str">
        <f ca="1">AM93</f>
        <v>Frankrijk</v>
      </c>
      <c r="AD29" s="1208"/>
      <c r="AE29" s="1208" t="str">
        <f ca="1">AO93</f>
        <v>Turkije</v>
      </c>
      <c r="AF29" s="1208"/>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onderstaande link kunt u de criteria vinden voor het bepalen van de 4 beste nummers 3 in de groepsfase.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02" t="str">
        <f ca="1">Taal04!B72</f>
        <v>Tevens vind u hier ook de verdeelsleutel voor het bepalen welk team in welke achtste finale speelt.</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03" t="str">
        <f ca="1">Taal04!B73</f>
        <v>www.excel-pool.nl/4beste3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04" t="str">
        <f ca="1">Taal04!$B$22</f>
        <v>Wedstrijd</v>
      </c>
      <c r="H35" s="1204"/>
      <c r="I35" s="1204"/>
      <c r="J35" s="1204"/>
      <c r="K35" s="1204"/>
      <c r="L35" s="1204"/>
      <c r="M35" s="1204"/>
      <c r="N35" s="1204"/>
      <c r="O35" s="1204"/>
      <c r="P35" s="1204"/>
      <c r="Q35" s="1204"/>
      <c r="R35" s="1204"/>
      <c r="S35" s="1204"/>
      <c r="T35" s="1204"/>
      <c r="U35" s="1204"/>
      <c r="V35" s="17"/>
      <c r="W35" s="1116" t="str">
        <f ca="1">Taal04!$B$24</f>
        <v>Eindstand</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 Wedstrijd 39</v>
      </c>
      <c r="H36" s="1209"/>
      <c r="I36" s="1209"/>
      <c r="J36" s="1209"/>
      <c r="K36" s="1209"/>
      <c r="L36" s="667" t="s">
        <v>856</v>
      </c>
      <c r="M36" s="665"/>
      <c r="N36" s="666" t="str">
        <f ca="1">IF(AK36="LEEG","▼   ","")&amp;"-  "</f>
        <v xml:space="preserve">-  </v>
      </c>
      <c r="O36" s="1209" t="str">
        <f ca="1">" "&amp;Taal04!$B$77&amp;" "&amp;D16</f>
        <v xml:space="preserve"> Win. Wedstrijd 37</v>
      </c>
      <c r="P36" s="1209"/>
      <c r="Q36" s="1209"/>
      <c r="R36" s="1209"/>
      <c r="S36" s="1209"/>
      <c r="T36" s="1209"/>
      <c r="U36" s="667" t="s">
        <v>1</v>
      </c>
      <c r="V36" s="666" t="str">
        <f ca="1">IF(AL36="LEEG","▼   ","")&amp;": "</f>
        <v xml:space="preserve">: </v>
      </c>
      <c r="W36" s="738">
        <v>2</v>
      </c>
      <c r="X36" s="940" t="s">
        <v>12</v>
      </c>
      <c r="Y36" s="738">
        <v>1</v>
      </c>
      <c r="Z36" s="963"/>
      <c r="AA36" s="411"/>
      <c r="AB36" s="851">
        <f>IF(AND(AM36="GOED",AN36="GOED"),W36+Y36,0)</f>
        <v>3</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ESDE21|</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07" t="str">
        <f ca="1">IF($AB$9=1," "&amp;AC37,IF($AB$9=2,IF(AC36="OO"," "&amp;AC37,""),""))</f>
        <v xml:space="preserve"> Spanje</v>
      </c>
      <c r="H37" s="1207"/>
      <c r="I37" s="1207"/>
      <c r="J37" s="1207"/>
      <c r="K37" s="1207"/>
      <c r="L37" s="1207"/>
      <c r="M37" s="16"/>
      <c r="N37" s="16"/>
      <c r="O37" s="1207" t="str">
        <f ca="1">IF($AB$9=1," "&amp;AE37,IF($AB$9=2,IF(AE36="OO"," "&amp;AE37,""),""))</f>
        <v xml:space="preserve"> Duitsland</v>
      </c>
      <c r="P37" s="1207"/>
      <c r="Q37" s="1207"/>
      <c r="R37" s="1207"/>
      <c r="S37" s="1207"/>
      <c r="T37" s="1207"/>
      <c r="U37" s="1207"/>
      <c r="V37" s="17"/>
      <c r="W37" s="17"/>
      <c r="X37" s="262"/>
      <c r="Y37" s="17"/>
      <c r="Z37" s="60"/>
      <c r="AA37" s="17"/>
      <c r="AB37" s="850"/>
      <c r="AC37" s="1208" t="str">
        <f ca="1">AM96</f>
        <v>Spanje</v>
      </c>
      <c r="AD37" s="1208"/>
      <c r="AE37" s="1208" t="str">
        <f ca="1">AO96</f>
        <v>Duitsland</v>
      </c>
      <c r="AF37" s="1208"/>
      <c r="AG37" s="716" t="str">
        <f ca="1">IF(AO36="FOUT","",IF(W36&gt;Y36,AC36,IF(W36&lt;Y36,AE36,AC36&amp;AE36)))</f>
        <v>B1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 Wedstrijd 41</v>
      </c>
      <c r="H38" s="1209"/>
      <c r="I38" s="1209"/>
      <c r="J38" s="1209"/>
      <c r="K38" s="1209"/>
      <c r="L38" s="667" t="s">
        <v>466</v>
      </c>
      <c r="M38" s="665"/>
      <c r="N38" s="666" t="str">
        <f ca="1">IF(AK38="LEEG","▼   ","")&amp;"-  "</f>
        <v xml:space="preserve">-  </v>
      </c>
      <c r="O38" s="1209" t="str">
        <f ca="1">" "&amp;Taal04!$B$77&amp;" "&amp;D22</f>
        <v xml:space="preserve"> Win. Wedstrijd 42</v>
      </c>
      <c r="P38" s="1209"/>
      <c r="Q38" s="1209"/>
      <c r="R38" s="1209"/>
      <c r="S38" s="1209"/>
      <c r="T38" s="1209"/>
      <c r="U38" s="667" t="s">
        <v>853</v>
      </c>
      <c r="V38" s="666" t="str">
        <f ca="1">IF(AL38="LEEG","▼   ","")&amp;": "</f>
        <v xml:space="preserve">: </v>
      </c>
      <c r="W38" s="738">
        <v>1</v>
      </c>
      <c r="X38" s="940" t="s">
        <v>12</v>
      </c>
      <c r="Y38" s="738">
        <v>2</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PTNL12|</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Portugal</v>
      </c>
      <c r="H39" s="1207"/>
      <c r="I39" s="1207"/>
      <c r="J39" s="1207"/>
      <c r="K39" s="1207"/>
      <c r="L39" s="1207"/>
      <c r="M39" s="16"/>
      <c r="N39" s="16"/>
      <c r="O39" s="1207" t="str">
        <f ca="1">IF($AB$9=1," "&amp;AE39,IF($AB$9=2,IF(AE38="OO"," "&amp;AE39,""),""))</f>
        <v xml:space="preserve"> Nederland</v>
      </c>
      <c r="P39" s="1207"/>
      <c r="Q39" s="1207"/>
      <c r="R39" s="1207"/>
      <c r="S39" s="1207"/>
      <c r="T39" s="1207"/>
      <c r="U39" s="1207"/>
      <c r="V39" s="17"/>
      <c r="W39" s="17"/>
      <c r="X39" s="262"/>
      <c r="Y39" s="17"/>
      <c r="Z39" s="60"/>
      <c r="AA39" s="17"/>
      <c r="AB39" s="850"/>
      <c r="AC39" s="1208" t="str">
        <f ca="1">AM97</f>
        <v>Portugal</v>
      </c>
      <c r="AD39" s="1208"/>
      <c r="AE39" s="1208" t="str">
        <f ca="1">AO97</f>
        <v>Nederland</v>
      </c>
      <c r="AF39" s="1208"/>
      <c r="AG39" s="716" t="str">
        <f ca="1">IF(AO38="FOUT","",IF(W38&gt;Y38,AC38,IF(W38&lt;Y38,AE38,AC38&amp;AE38)))</f>
        <v>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 Wedstrijd 40</v>
      </c>
      <c r="H40" s="1209"/>
      <c r="I40" s="1209"/>
      <c r="J40" s="1209"/>
      <c r="K40" s="1209"/>
      <c r="L40" s="667" t="s">
        <v>854</v>
      </c>
      <c r="M40" s="665"/>
      <c r="N40" s="666" t="str">
        <f ca="1">IF(AK40="LEEG","▼   ","")&amp;"-  "</f>
        <v xml:space="preserve">-  </v>
      </c>
      <c r="O40" s="1209" t="str">
        <f ca="1">" "&amp;Taal04!$B$77&amp;" "&amp;D14</f>
        <v xml:space="preserve"> Win. Wedstrijd 38</v>
      </c>
      <c r="P40" s="1209"/>
      <c r="Q40" s="1209"/>
      <c r="R40" s="1209"/>
      <c r="S40" s="1209"/>
      <c r="T40" s="1209"/>
      <c r="U40" s="667" t="s">
        <v>2193</v>
      </c>
      <c r="V40" s="666" t="str">
        <f ca="1">IF(AL40="LEEG","▼   ","")&amp;": "</f>
        <v xml:space="preserve">: </v>
      </c>
      <c r="W40" s="738">
        <v>2</v>
      </c>
      <c r="X40" s="940" t="s">
        <v>12</v>
      </c>
      <c r="Y40" s="738">
        <v>1</v>
      </c>
      <c r="Z40" s="963"/>
      <c r="AA40" s="411"/>
      <c r="AB40" s="851">
        <f>IF(AND(AM40="GOED",AN40="GOED"),W40+Y40,0)</f>
        <v>3</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GBIT21|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Engeland</v>
      </c>
      <c r="H41" s="1207"/>
      <c r="I41" s="1207"/>
      <c r="J41" s="1207"/>
      <c r="K41" s="1207"/>
      <c r="L41" s="1207"/>
      <c r="M41" s="16"/>
      <c r="N41" s="16"/>
      <c r="O41" s="1207" t="str">
        <f ca="1">IF($AB$9=1," "&amp;AE41,IF($AB$9=2,IF(AE40="OO"," "&amp;AE41,""),""))</f>
        <v xml:space="preserve"> Italië</v>
      </c>
      <c r="P41" s="1207"/>
      <c r="Q41" s="1207"/>
      <c r="R41" s="1207"/>
      <c r="S41" s="1207"/>
      <c r="T41" s="1207"/>
      <c r="U41" s="1207"/>
      <c r="V41" s="17"/>
      <c r="W41" s="17"/>
      <c r="X41" s="262"/>
      <c r="Y41" s="17"/>
      <c r="Z41" s="60"/>
      <c r="AA41" s="17"/>
      <c r="AB41" s="850"/>
      <c r="AC41" s="1208" t="str">
        <f ca="1">AM98</f>
        <v>Engeland</v>
      </c>
      <c r="AD41" s="1208"/>
      <c r="AE41" s="1208" t="str">
        <f ca="1">AO98</f>
        <v>Italië</v>
      </c>
      <c r="AF41" s="1208"/>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 Wedstrijd 43</v>
      </c>
      <c r="H42" s="1209"/>
      <c r="I42" s="1209"/>
      <c r="J42" s="1209"/>
      <c r="K42" s="1209"/>
      <c r="L42" s="667" t="s">
        <v>463</v>
      </c>
      <c r="M42" s="665"/>
      <c r="N42" s="666" t="str">
        <f ca="1">IF(AK42="LEEG","▼   ","")&amp;"-  "</f>
        <v xml:space="preserve">-  </v>
      </c>
      <c r="O42" s="1209" t="str">
        <f ca="1">" "&amp;Taal04!$B$77&amp;" "&amp;D28</f>
        <v xml:space="preserve"> Win. Wedstrijd 44</v>
      </c>
      <c r="P42" s="1209"/>
      <c r="Q42" s="1209"/>
      <c r="R42" s="1209"/>
      <c r="S42" s="1209"/>
      <c r="T42" s="1209"/>
      <c r="U42" s="667" t="s">
        <v>465</v>
      </c>
      <c r="V42" s="666" t="str">
        <f ca="1">IF(AL42="LEEG","▼   ","")&amp;": "</f>
        <v xml:space="preserve">: </v>
      </c>
      <c r="W42" s="738">
        <v>1</v>
      </c>
      <c r="X42" s="940" t="s">
        <v>12</v>
      </c>
      <c r="Y42" s="738">
        <v>2</v>
      </c>
      <c r="Z42" s="963"/>
      <c r="AA42" s="411"/>
      <c r="AB42" s="851">
        <f>IF(AND(AM42="GOED",AN42="GOED"),W42+Y42,0)</f>
        <v>3</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BEFR12|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België</v>
      </c>
      <c r="H43" s="1207"/>
      <c r="I43" s="1207"/>
      <c r="J43" s="1207"/>
      <c r="K43" s="1207"/>
      <c r="L43" s="1207"/>
      <c r="M43" s="16"/>
      <c r="N43" s="16"/>
      <c r="O43" s="1207" t="str">
        <f ca="1">IF($AB$9=1," "&amp;AE43,IF($AB$9=2,IF(AE42="OO"," "&amp;AE43,""),""))</f>
        <v xml:space="preserve"> Frankrijk</v>
      </c>
      <c r="P43" s="1207"/>
      <c r="Q43" s="1207"/>
      <c r="R43" s="1207"/>
      <c r="S43" s="1207"/>
      <c r="T43" s="1207"/>
      <c r="U43" s="1207"/>
      <c r="V43" s="17"/>
      <c r="W43" s="17"/>
      <c r="X43" s="17"/>
      <c r="Y43" s="17"/>
      <c r="Z43" s="60"/>
      <c r="AA43" s="17"/>
      <c r="AB43" s="850"/>
      <c r="AC43" s="1208" t="str">
        <f ca="1">AM99</f>
        <v>België</v>
      </c>
      <c r="AD43" s="1208"/>
      <c r="AE43" s="1208" t="str">
        <f ca="1">AO99</f>
        <v>Frankrijk</v>
      </c>
      <c r="AF43" s="1208"/>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04" t="str">
        <f ca="1">Taal04!$B$22</f>
        <v>Wedstrijd</v>
      </c>
      <c r="H45" s="1204"/>
      <c r="I45" s="1204"/>
      <c r="J45" s="1204"/>
      <c r="K45" s="1204"/>
      <c r="L45" s="1204"/>
      <c r="M45" s="1204"/>
      <c r="N45" s="1204"/>
      <c r="O45" s="1204"/>
      <c r="P45" s="1204"/>
      <c r="Q45" s="1204"/>
      <c r="R45" s="1204"/>
      <c r="S45" s="1204"/>
      <c r="T45" s="1204"/>
      <c r="U45" s="1204"/>
      <c r="V45" s="17"/>
      <c r="W45" s="1205" t="str">
        <f ca="1">Taal04!$B$24</f>
        <v>Eindstand</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 Wedstrijd 45</v>
      </c>
      <c r="H46" s="1209"/>
      <c r="I46" s="1209"/>
      <c r="J46" s="1209"/>
      <c r="K46" s="1209"/>
      <c r="L46" s="667" t="s">
        <v>856</v>
      </c>
      <c r="M46" s="665"/>
      <c r="N46" s="666" t="str">
        <f ca="1">IF(AK46="LEEG","▼   ","")&amp;"-  "</f>
        <v xml:space="preserve">-  </v>
      </c>
      <c r="O46" s="1209" t="str">
        <f ca="1">" "&amp;Taal04!$B$77&amp;" "&amp;D38</f>
        <v xml:space="preserve"> Win. Wedstrijd 46</v>
      </c>
      <c r="P46" s="1209"/>
      <c r="Q46" s="1209"/>
      <c r="R46" s="1209"/>
      <c r="S46" s="1209"/>
      <c r="T46" s="1209"/>
      <c r="U46" s="667" t="s">
        <v>853</v>
      </c>
      <c r="V46" s="666" t="str">
        <f ca="1">IF(AL46="LEEG","▼   ","")&amp;": "</f>
        <v xml:space="preserve">: </v>
      </c>
      <c r="W46" s="738">
        <v>2</v>
      </c>
      <c r="X46" s="940" t="s">
        <v>12</v>
      </c>
      <c r="Y46" s="738">
        <v>1</v>
      </c>
      <c r="Z46" s="60"/>
      <c r="AA46" s="17"/>
      <c r="AB46" s="851">
        <f>IF(AND(AM46="GOED",AN46="GOED"),W46+Y46,0)</f>
        <v>3</v>
      </c>
      <c r="AC46" s="271" t="str">
        <f ca="1">IF(OR(L46="",ISBLANK(L46),L46=$AQ$11),"OO",IF(TYPE(VLOOKUP(L46,Taal02!$C$100:$D$419,2,FALSE))=16,"XX",VLOOKUP(L46,Taal02!$C$100:$D$419,2,FALSE)))</f>
        <v>B1</v>
      </c>
      <c r="AD46" s="235" t="str">
        <f ca="1">IF(AC46="OO","LEEG",IF(AC46="XX","FOUT",VLOOKUP(AC46,Voorblad!$X$65:$Z$98,3,FALSE)))</f>
        <v>ES</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ESNL21|</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Spanje</v>
      </c>
      <c r="H47" s="1207"/>
      <c r="I47" s="1207"/>
      <c r="J47" s="1207"/>
      <c r="K47" s="1207"/>
      <c r="L47" s="1207"/>
      <c r="M47" s="16"/>
      <c r="N47" s="16"/>
      <c r="O47" s="1207" t="str">
        <f ca="1">IF($AB$9=1," "&amp;AE47,IF($AB$9=2,IF(AE46="OO"," "&amp;AE47,""),""))</f>
        <v xml:space="preserve"> Nederland</v>
      </c>
      <c r="P47" s="1207"/>
      <c r="Q47" s="1207"/>
      <c r="R47" s="1207"/>
      <c r="S47" s="1207"/>
      <c r="T47" s="1207"/>
      <c r="U47" s="1207"/>
      <c r="V47" s="17"/>
      <c r="W47" s="17"/>
      <c r="X47" s="262"/>
      <c r="Y47" s="17"/>
      <c r="Z47" s="60"/>
      <c r="AA47" s="17"/>
      <c r="AB47" s="850"/>
      <c r="AC47" s="1208" t="str">
        <f ca="1">AM102</f>
        <v>Spanje</v>
      </c>
      <c r="AD47" s="1208"/>
      <c r="AE47" s="1208" t="str">
        <f ca="1">AO102</f>
        <v>Nederland</v>
      </c>
      <c r="AF47" s="1208"/>
      <c r="AG47" s="716" t="str">
        <f ca="1">IF(AO46="FOUT","",IF(W46&gt;Y46,AC46,IF(W46&lt;Y46,AE46,AC46&amp;AE46)))</f>
        <v>B1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 Wedstrijd 47</v>
      </c>
      <c r="H48" s="1209"/>
      <c r="I48" s="1209"/>
      <c r="J48" s="1209"/>
      <c r="K48" s="1209"/>
      <c r="L48" s="667" t="s">
        <v>465</v>
      </c>
      <c r="M48" s="665"/>
      <c r="N48" s="666" t="str">
        <f ca="1">IF(AK48="LEEG","▼   ","")&amp;"-  "</f>
        <v xml:space="preserve">-  </v>
      </c>
      <c r="O48" s="1209" t="str">
        <f ca="1">" "&amp;Taal04!$B$77&amp;" "&amp;D40</f>
        <v xml:space="preserve"> Win. Wedstrijd 48</v>
      </c>
      <c r="P48" s="1209"/>
      <c r="Q48" s="1209"/>
      <c r="R48" s="1209"/>
      <c r="S48" s="1209"/>
      <c r="T48" s="1209"/>
      <c r="U48" s="667" t="s">
        <v>854</v>
      </c>
      <c r="V48" s="666" t="str">
        <f ca="1">IF(AL48="LEEG","▼   ","")&amp;": "</f>
        <v xml:space="preserve">: </v>
      </c>
      <c r="W48" s="738">
        <v>1</v>
      </c>
      <c r="X48" s="940" t="s">
        <v>12</v>
      </c>
      <c r="Y48" s="738">
        <v>2</v>
      </c>
      <c r="Z48" s="60"/>
      <c r="AA48" s="17"/>
      <c r="AB48" s="851">
        <f>IF(AND(AM48="GOED",AN48="GOED"),W48+Y48,0)</f>
        <v>3</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D2</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FRGB12|</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Frankrijk</v>
      </c>
      <c r="H49" s="1207"/>
      <c r="I49" s="1207"/>
      <c r="J49" s="1207"/>
      <c r="K49" s="1207"/>
      <c r="L49" s="1207"/>
      <c r="M49" s="16"/>
      <c r="N49" s="16"/>
      <c r="O49" s="1207" t="str">
        <f ca="1">IF($AB$9=1," "&amp;AE49,IF($AB$9=2,IF(AE48="OO"," "&amp;AE49,""),""))</f>
        <v xml:space="preserve"> Engeland</v>
      </c>
      <c r="P49" s="1207"/>
      <c r="Q49" s="1207"/>
      <c r="R49" s="1207"/>
      <c r="S49" s="1207"/>
      <c r="T49" s="1207"/>
      <c r="U49" s="1207"/>
      <c r="V49" s="17"/>
      <c r="W49" s="262"/>
      <c r="X49" s="262"/>
      <c r="Y49" s="262"/>
      <c r="Z49" s="60"/>
      <c r="AA49" s="17"/>
      <c r="AB49" s="850"/>
      <c r="AC49" s="1208" t="str">
        <f ca="1">AM103</f>
        <v>Frankrijk</v>
      </c>
      <c r="AD49" s="1208"/>
      <c r="AE49" s="1208" t="str">
        <f ca="1">AO103</f>
        <v>Engeland</v>
      </c>
      <c r="AF49" s="1208"/>
      <c r="AG49" s="716" t="str">
        <f ca="1">IF(AO48="FOUT","",IF(W48&gt;Y48,AC48,IF(W48&lt;Y48,AE48,AC48&amp;AE48)))</f>
        <v>C4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D4</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04" t="str">
        <f ca="1">Taal04!$B$22</f>
        <v>Wedstrijd</v>
      </c>
      <c r="H51" s="1204"/>
      <c r="I51" s="1204"/>
      <c r="J51" s="1204"/>
      <c r="K51" s="1204"/>
      <c r="L51" s="1204"/>
      <c r="M51" s="1204"/>
      <c r="N51" s="1204"/>
      <c r="O51" s="1204"/>
      <c r="P51" s="1204"/>
      <c r="Q51" s="1204"/>
      <c r="R51" s="1204"/>
      <c r="S51" s="1204"/>
      <c r="T51" s="1204"/>
      <c r="U51" s="1204"/>
      <c r="V51" s="17"/>
      <c r="W51" s="1205" t="str">
        <f ca="1">Taal04!$B$24</f>
        <v>Eindstand</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Verl. Wedstrijd 49</v>
      </c>
      <c r="H52" s="1209"/>
      <c r="I52" s="1209"/>
      <c r="J52" s="1209"/>
      <c r="K52" s="1209"/>
      <c r="L52" s="667"/>
      <c r="M52" s="665"/>
      <c r="N52" s="666" t="str">
        <f>IF(AK52="LEEG","▼   ","")&amp;"-  "</f>
        <v xml:space="preserve">-  </v>
      </c>
      <c r="O52" s="1209" t="str">
        <f ca="1">" "&amp;Taal04!$B$78&amp;" "&amp;D48</f>
        <v xml:space="preserve"> Verl. Wedstrijd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Nederland</v>
      </c>
      <c r="H53" s="1207"/>
      <c r="I53" s="1207"/>
      <c r="J53" s="1207"/>
      <c r="K53" s="1207"/>
      <c r="L53" s="1207"/>
      <c r="M53" s="16"/>
      <c r="N53" s="16"/>
      <c r="O53" s="1207" t="str">
        <f ca="1">IF($AB$9=1," "&amp;AE53,IF($AB$9=2,IF(AE52="OO"," "&amp;AE53,""),""))</f>
        <v xml:space="preserve"> Frankrijk</v>
      </c>
      <c r="P53" s="1207"/>
      <c r="Q53" s="1207"/>
      <c r="R53" s="1207"/>
      <c r="S53" s="1207"/>
      <c r="T53" s="1207"/>
      <c r="U53" s="1207"/>
      <c r="V53" s="17"/>
      <c r="W53" s="262"/>
      <c r="X53" s="262"/>
      <c r="Y53" s="262"/>
      <c r="Z53" s="60"/>
      <c r="AA53" s="17"/>
      <c r="AB53" s="850"/>
      <c r="AC53" s="1208" t="str">
        <f ca="1">AM106</f>
        <v>Nederland</v>
      </c>
      <c r="AD53" s="1208"/>
      <c r="AE53" s="1208" t="str">
        <f ca="1">AO106</f>
        <v>Frankrijk</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04" t="str">
        <f ca="1">Taal04!$B$22</f>
        <v>Wedstrijd</v>
      </c>
      <c r="H55" s="1204"/>
      <c r="I55" s="1204"/>
      <c r="J55" s="1204"/>
      <c r="K55" s="1204"/>
      <c r="L55" s="1204"/>
      <c r="M55" s="1204"/>
      <c r="N55" s="1204"/>
      <c r="O55" s="1204"/>
      <c r="P55" s="1204"/>
      <c r="Q55" s="1204"/>
      <c r="R55" s="1204"/>
      <c r="S55" s="1204"/>
      <c r="T55" s="1204"/>
      <c r="U55" s="1204"/>
      <c r="V55" s="17"/>
      <c r="W55" s="1205" t="str">
        <f ca="1">Taal04!$B$24</f>
        <v>Eindstand</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 Wedstrijd 49</v>
      </c>
      <c r="H56" s="1209"/>
      <c r="I56" s="1209"/>
      <c r="J56" s="1209"/>
      <c r="K56" s="1209"/>
      <c r="L56" s="667" t="s">
        <v>856</v>
      </c>
      <c r="M56" s="665"/>
      <c r="N56" s="666" t="str">
        <f ca="1">IF(AK56="LEEG","▼   ","")&amp;"-  "</f>
        <v xml:space="preserve">-  </v>
      </c>
      <c r="O56" s="1209" t="str">
        <f ca="1">" "&amp;Taal04!$B$77&amp;" "&amp;D48</f>
        <v xml:space="preserve"> Win. Wedstrijd 50</v>
      </c>
      <c r="P56" s="1209"/>
      <c r="Q56" s="1209"/>
      <c r="R56" s="1209"/>
      <c r="S56" s="1209"/>
      <c r="T56" s="1209"/>
      <c r="U56" s="667" t="s">
        <v>854</v>
      </c>
      <c r="V56" s="666" t="str">
        <f ca="1">IF(AL56="LEEG","▼   ","")&amp;": "</f>
        <v xml:space="preserve">: </v>
      </c>
      <c r="W56" s="738">
        <v>1</v>
      </c>
      <c r="X56" s="940" t="s">
        <v>12</v>
      </c>
      <c r="Y56" s="738">
        <v>2</v>
      </c>
      <c r="Z56" s="60"/>
      <c r="AA56" s="17"/>
      <c r="AB56" s="851">
        <f>IF(AND(AM56="GOED",AN56="GOED"),W56+Y56,0)</f>
        <v>3</v>
      </c>
      <c r="AC56" s="271" t="str">
        <f ca="1">IF(OR(L56="",ISBLANK(L56),L56=$AQ$11),"OO",IF(TYPE(VLOOKUP(L56,Taal02!$C$100:$D$419,2,FALSE))=16,"XX",VLOOKUP(L56,Taal02!$C$100:$D$419,2,FALSE)))</f>
        <v>B1</v>
      </c>
      <c r="AD56" s="235" t="str">
        <f ca="1">IF(AC56="OO","LEEG",IF(AC56="XX","FOUT",VLOOKUP(AC56,Voorblad!$X$65:$Z$98,3,FALSE)))</f>
        <v>ES</v>
      </c>
      <c r="AE56" s="271" t="str">
        <f ca="1">IF(OR(U56="",ISBLANK(U56),U56=$AQ$11),"OO",IF(TYPE(VLOOKUP(U56,Taal02!$C$100:$D$419,2,FALSE))=16,"XX",VLOOKUP(U56,Taal02!$C$100:$D$419,2,FALSE)))</f>
        <v>C4</v>
      </c>
      <c r="AF56" s="235" t="str">
        <f ca="1">IF(AE56="OO","LEEG",IF(AE56="XX","FOUT",VLOOKUP(AE56,Voorblad!$X$65:$Z$98,3,FALSE)))</f>
        <v>GB</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ESGB12|</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07" t="str">
        <f ca="1">IF($AB$9=1," "&amp;AC57,IF($AB$9=2,IF(AC56="OO"," "&amp;AC57,""),""))</f>
        <v xml:space="preserve"> Spanje</v>
      </c>
      <c r="H57" s="1207"/>
      <c r="I57" s="1207"/>
      <c r="J57" s="1207"/>
      <c r="K57" s="1207"/>
      <c r="L57" s="1207"/>
      <c r="M57" s="16"/>
      <c r="N57" s="16"/>
      <c r="O57" s="1207" t="str">
        <f ca="1">IF($AB$9=1," "&amp;AE57,IF($AB$9=2,IF(AE56="OO"," "&amp;AE57,""),""))</f>
        <v xml:space="preserve"> Engeland</v>
      </c>
      <c r="P57" s="1207"/>
      <c r="Q57" s="1207"/>
      <c r="R57" s="1207"/>
      <c r="S57" s="1207"/>
      <c r="T57" s="1207"/>
      <c r="U57" s="1207"/>
      <c r="V57" s="17"/>
      <c r="W57" s="17"/>
      <c r="X57" s="17"/>
      <c r="Y57" s="17"/>
      <c r="Z57" s="60"/>
      <c r="AA57" s="17"/>
      <c r="AB57" s="1213" t="s">
        <v>1908</v>
      </c>
      <c r="AC57" s="1210" t="str">
        <f ca="1">AM109</f>
        <v>Spanje</v>
      </c>
      <c r="AD57" s="1210"/>
      <c r="AE57" s="1210" t="str">
        <f ca="1">AO109</f>
        <v>Engeland</v>
      </c>
      <c r="AF57" s="1210"/>
      <c r="AG57" s="716" t="str">
        <f ca="1">IF(AO56="FOUT","",IF(W56&gt;Y56,AC56,IF(W56&lt;Y56,AE56,AC56&amp;AE56)))</f>
        <v>C4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239" t="s">
        <v>854</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C4</v>
      </c>
      <c r="AF59" s="235" t="str">
        <f ca="1">IF(AE59="OO","LEEG",IF(AE59="XX","FOUT",VLOOKUP(AE59,Voorblad!$X$65:$Z$98,3,FALSE)))</f>
        <v>GB</v>
      </c>
      <c r="AG59" s="5"/>
      <c r="AH59" s="363" t="s">
        <v>2298</v>
      </c>
      <c r="AI59" s="5"/>
      <c r="AJ59" s="5"/>
      <c r="AK59" s="1"/>
      <c r="AL59" s="4" t="str">
        <f ca="1">IF(AF59="LEEG","LEEG",IF(TYPE(AF59)=2,IF(LEN(AF59)=2,"GOED","ONGELDIG"),"ONGELDIG"))</f>
        <v>GOED</v>
      </c>
      <c r="AM59" s="1"/>
      <c r="AN59" s="1"/>
      <c r="AO59" s="138" t="str">
        <f ca="1">IF(AL59="GOED",AF59&amp;"|","FOUT")</f>
        <v>GB|</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Engeland</v>
      </c>
      <c r="P60" s="1211"/>
      <c r="Q60" s="1211"/>
      <c r="R60" s="1211"/>
      <c r="S60" s="1211"/>
      <c r="T60" s="1211"/>
      <c r="U60" s="1211"/>
      <c r="V60" s="17"/>
      <c r="W60" s="17"/>
      <c r="X60" s="17"/>
      <c r="Y60" s="17"/>
      <c r="Z60" s="60"/>
      <c r="AA60" s="17"/>
      <c r="AB60" s="1213"/>
      <c r="AC60" s="10"/>
      <c r="AD60" s="5"/>
      <c r="AE60" s="1210" t="str">
        <f ca="1">AM112</f>
        <v>Engeland</v>
      </c>
      <c r="AF60" s="1210"/>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CHIT12|DERS20|GBPL21|ESSC21|NLRO21|PTHR21|BEDK21|FRTR20|ESDE21|PTNL12|GBIT21|BEFR12|ESNL21|FRGB12|ESGB12|GB|</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CHIT12|DERS20|GBPL21|ESSC21|NLRO21|PTHR21|BEDK21|FRTR20|ESDE21|PTNL12|GBIT21|BEFR12|ESNL21|FRGB12|ESGB12|</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Spanje</v>
      </c>
      <c r="AT73" s="694" t="str">
        <f ca="1">RIGHT(LEFT($AK$102,$BA73),2)</f>
        <v>B1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191" t="str">
        <f ca="1">Groepswedstrijden!$Z$73</f>
        <v>A4</v>
      </c>
      <c r="AD74" s="1191"/>
      <c r="AE74" s="1191" t="str">
        <f ca="1">Groepswedstrijden!$AA$73</f>
        <v>B1</v>
      </c>
      <c r="AF74" s="1191"/>
      <c r="AG74" s="1191" t="e">
        <f>#REF!</f>
        <v>#REF!</v>
      </c>
      <c r="AH74" s="1191"/>
      <c r="AI74" s="1191" t="e">
        <f>#REF!</f>
        <v>#REF!</v>
      </c>
      <c r="AJ74" s="1191"/>
      <c r="AK74" s="717" t="str">
        <f ca="1">'Eindstand Groep'!$Y$5</f>
        <v>A4</v>
      </c>
      <c r="AL74" s="717" t="str">
        <f ca="1">'Eindstand Groep'!$Z$5</f>
        <v>B1</v>
      </c>
      <c r="AM74" s="1199" t="str">
        <f t="shared" ref="AM74:AM81" ca="1" si="18">IF($AG$71=1,AK74,IF($AG$67=1,AC74,IF($AG$69=1,AG74,"")))</f>
        <v>A4</v>
      </c>
      <c r="AN74" s="1199"/>
      <c r="AO74" s="614" t="str">
        <f ca="1">IF($AG$71=1,AL74,IF($AG$67=1,AE74,IF($AG$69=1,AI74,"")))</f>
        <v>B1</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195" t="str">
        <f ca="1">Groepswedstrijden!$Z$72</f>
        <v>A1</v>
      </c>
      <c r="AD75" s="1195"/>
      <c r="AE75" s="1195" t="str">
        <f ca="1">Groepswedstrijden!$AB$73</f>
        <v>C3</v>
      </c>
      <c r="AF75" s="1195"/>
      <c r="AG75" s="1195" t="e">
        <f>#REF!</f>
        <v>#REF!</v>
      </c>
      <c r="AH75" s="1195"/>
      <c r="AI75" s="1195" t="e">
        <f>#REF!</f>
        <v>#REF!</v>
      </c>
      <c r="AJ75" s="1195"/>
      <c r="AK75" s="718" t="str">
        <f ca="1">'Eindstand Groep'!$Y$6</f>
        <v>A1</v>
      </c>
      <c r="AL75" s="718" t="str">
        <f ca="1">'Eindstand Groep'!$Z$6</f>
        <v>C3</v>
      </c>
      <c r="AM75" s="1200" t="str">
        <f t="shared" ca="1" si="18"/>
        <v>A1</v>
      </c>
      <c r="AN75" s="1200"/>
      <c r="AO75" s="719" t="str">
        <f t="shared" ref="AO75:AO81" ca="1" si="24">IF($AG$71=1,AL75,IF($AG$67=1,AE75,IF($AG$69=1,AI75,"")))</f>
        <v>C3</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191" t="str">
        <f ca="1">Groepswedstrijden!$AB$72</f>
        <v>C4</v>
      </c>
      <c r="AD76" s="1191"/>
      <c r="AE76" s="1191" t="str">
        <f ca="1">Groepswedstrijden!$AC$74&amp;Groepswedstrijden!$AD$74&amp;Groepswedstrijden!$AE$74</f>
        <v>D1E2F4</v>
      </c>
      <c r="AF76" s="1191"/>
      <c r="AG76" s="1191" t="e">
        <f>#REF!</f>
        <v>#REF!</v>
      </c>
      <c r="AH76" s="1191"/>
      <c r="AI76" s="1191" t="e">
        <f>#REF!&amp;#REF!&amp;#REF!</f>
        <v>#REF!</v>
      </c>
      <c r="AJ76" s="1191"/>
      <c r="AK76" s="717" t="str">
        <f ca="1">'Eindstand Groep'!$Y$7</f>
        <v>C4</v>
      </c>
      <c r="AL76" s="717" t="str">
        <f ca="1">'Eindstand Groep'!$Z$7</f>
        <v>D1E2F4</v>
      </c>
      <c r="AM76" s="1199" t="str">
        <f t="shared" ca="1" si="18"/>
        <v>C4</v>
      </c>
      <c r="AN76" s="1199"/>
      <c r="AO76" s="614" t="str">
        <f t="shared" ca="1" si="24"/>
        <v>D1E2F4</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195" t="str">
        <f ca="1">Groepswedstrijden!$AA$72</f>
        <v>B3</v>
      </c>
      <c r="AD77" s="1195"/>
      <c r="AE77" s="1195" t="str">
        <f ca="1">Groepswedstrijden!$Z$74&amp;Groepswedstrijden!$AC$74&amp;Groepswedstrijden!$AD$74&amp;Groepswedstrijden!$AE$74</f>
        <v>A2D1E2F4</v>
      </c>
      <c r="AF77" s="1195"/>
      <c r="AG77" s="1195" t="e">
        <f>#REF!</f>
        <v>#REF!</v>
      </c>
      <c r="AH77" s="1195"/>
      <c r="AI77" s="1195" t="e">
        <f>#REF!&amp;#REF!&amp;#REF!&amp;#REF!</f>
        <v>#REF!</v>
      </c>
      <c r="AJ77" s="1195"/>
      <c r="AK77" s="718" t="str">
        <f ca="1">'Eindstand Groep'!$Y$8</f>
        <v>B3</v>
      </c>
      <c r="AL77" s="718" t="str">
        <f ca="1">'Eindstand Groep'!$Z$8</f>
        <v>A2D1E2F4</v>
      </c>
      <c r="AM77" s="1200" t="str">
        <f t="shared" ca="1" si="18"/>
        <v>B3</v>
      </c>
      <c r="AN77" s="1200"/>
      <c r="AO77" s="719" t="str">
        <f t="shared" ca="1" si="24"/>
        <v>A2D1E2F4</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191" t="str">
        <f ca="1">Groepswedstrijden!$AC$73</f>
        <v>D2</v>
      </c>
      <c r="AD78" s="1191"/>
      <c r="AE78" s="1191" t="str">
        <f ca="1">Groepswedstrijden!$AD$73</f>
        <v>E3</v>
      </c>
      <c r="AF78" s="1191"/>
      <c r="AG78" s="1191" t="e">
        <f>#REF!</f>
        <v>#REF!</v>
      </c>
      <c r="AH78" s="1191"/>
      <c r="AI78" s="1191" t="e">
        <f>#REF!</f>
        <v>#REF!</v>
      </c>
      <c r="AJ78" s="1191"/>
      <c r="AK78" s="717" t="str">
        <f ca="1">'Eindstand Groep'!$Y$9</f>
        <v>D2</v>
      </c>
      <c r="AL78" s="717" t="str">
        <f ca="1">'Eindstand Groep'!$Z$9</f>
        <v>E3</v>
      </c>
      <c r="AM78" s="1199" t="str">
        <f t="shared" ca="1" si="18"/>
        <v>D2</v>
      </c>
      <c r="AN78" s="1199"/>
      <c r="AO78" s="614" t="str">
        <f t="shared" ca="1" si="24"/>
        <v>E3</v>
      </c>
      <c r="AP78" s="266"/>
      <c r="AQ78" s="710" t="str">
        <f ca="1">Voorblad!AA72</f>
        <v>D4</v>
      </c>
      <c r="AR78" s="711"/>
      <c r="AS78" s="693" t="str">
        <f ca="1">IF(AT78=$AR$11,$AQ$11,IF(AT78=$AR$12,$AQ$12,VLOOKUP(AT78,Voorblad!$X$67:$Z$98,2,FALSE)))</f>
        <v>Duitsland</v>
      </c>
      <c r="AT78" s="694" t="str">
        <f t="shared" ca="1" si="19"/>
        <v>A1</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195" t="str">
        <f ca="1">Groepswedstrijden!$AE$72</f>
        <v>F3</v>
      </c>
      <c r="AD79" s="1195"/>
      <c r="AE79" s="1195" t="str">
        <f ca="1">Groepswedstrijden!$Z$74&amp;Groepswedstrijden!$AA$74&amp;Groepswedstrijden!$AB$74</f>
        <v>A2B2C2</v>
      </c>
      <c r="AF79" s="1195"/>
      <c r="AG79" s="1195" t="e">
        <f>#REF!</f>
        <v>#REF!</v>
      </c>
      <c r="AH79" s="1195"/>
      <c r="AI79" s="1195" t="e">
        <f>#REF!&amp;#REF!&amp;#REF!</f>
        <v>#REF!</v>
      </c>
      <c r="AJ79" s="1195"/>
      <c r="AK79" s="718" t="str">
        <f ca="1">'Eindstand Groep'!$Y$10</f>
        <v>F3</v>
      </c>
      <c r="AL79" s="718" t="str">
        <f ca="1">'Eindstand Groep'!$Z$10</f>
        <v>A2B2C2</v>
      </c>
      <c r="AM79" s="1200" t="str">
        <f t="shared" ca="1" si="18"/>
        <v>F3</v>
      </c>
      <c r="AN79" s="1200"/>
      <c r="AO79" s="719" t="str">
        <f t="shared" ca="1" si="24"/>
        <v>A2B2C2</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191" t="str">
        <f ca="1">Groepswedstrijden!$AD$72</f>
        <v>E1</v>
      </c>
      <c r="AD80" s="1191"/>
      <c r="AE80" s="1191" t="str">
        <f ca="1">Groepswedstrijden!$Z$74&amp;Groepswedstrijden!$AA$74&amp;Groepswedstrijden!$AB$74&amp;Groepswedstrijden!$AC$74</f>
        <v>A2B2C2D1</v>
      </c>
      <c r="AF80" s="1191"/>
      <c r="AG80" s="1191" t="e">
        <f>#REF!</f>
        <v>#REF!</v>
      </c>
      <c r="AH80" s="1191"/>
      <c r="AI80" s="1191" t="e">
        <f>#REF!&amp;#REF!&amp;#REF!&amp;#REF!</f>
        <v>#REF!</v>
      </c>
      <c r="AJ80" s="1191"/>
      <c r="AK80" s="717" t="str">
        <f ca="1">'Eindstand Groep'!$Y$11</f>
        <v>E1</v>
      </c>
      <c r="AL80" s="717" t="str">
        <f ca="1">'Eindstand Groep'!$Z$11</f>
        <v>A2B2C2D1</v>
      </c>
      <c r="AM80" s="1199" t="str">
        <f t="shared" ca="1" si="18"/>
        <v>E1</v>
      </c>
      <c r="AN80" s="1199"/>
      <c r="AO80" s="614" t="str">
        <f t="shared" ca="1" si="24"/>
        <v>A2B2C2D1</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195" t="str">
        <f ca="1">Groepswedstrijden!$AC$72</f>
        <v>D4</v>
      </c>
      <c r="AD81" s="1195"/>
      <c r="AE81" s="1195" t="str">
        <f ca="1">Groepswedstrijden!$AE$73</f>
        <v>F1</v>
      </c>
      <c r="AF81" s="1195"/>
      <c r="AG81" s="1195" t="e">
        <f>#REF!</f>
        <v>#REF!</v>
      </c>
      <c r="AH81" s="1195"/>
      <c r="AI81" s="1195" t="e">
        <f>#REF!</f>
        <v>#REF!</v>
      </c>
      <c r="AJ81" s="1195"/>
      <c r="AK81" s="718" t="str">
        <f ca="1">'Eindstand Groep'!$Y$12</f>
        <v>D4</v>
      </c>
      <c r="AL81" s="718" t="str">
        <f ca="1">'Eindstand Groep'!$Z$12</f>
        <v>F1</v>
      </c>
      <c r="AM81" s="1200" t="str">
        <f t="shared" ca="1" si="18"/>
        <v>D4</v>
      </c>
      <c r="AN81" s="1200"/>
      <c r="AO81" s="719" t="str">
        <f t="shared" ca="1" si="24"/>
        <v>F1</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191" t="str">
        <f ca="1">AM74</f>
        <v>A4</v>
      </c>
      <c r="AD86" s="1191"/>
      <c r="AE86" s="1191" t="str">
        <f t="shared" ca="1" si="26"/>
        <v>B1</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B1</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Zwitserland</v>
      </c>
      <c r="AN86" s="1191"/>
      <c r="AO86" s="728" t="str">
        <f ca="1">IF(AI86="","",IF(LEN(AI86)&gt;=2,VLOOKUP(LEFT(AI86,2),Voorblad!$X$67:$Y$98,2)&amp;IF(LEN(AI86)&gt;=4," / "&amp;VLOOKUP(RIGHT(LEFT(AI86,4),2),Voorblad!$X$67:$Y$98,2)&amp;IF(LEN(AI86)&gt;=6," / "&amp;VLOOKUP(RIGHT(LEFT(AI86,6),2),Voorblad!$X$67:$Y$98,2)&amp;IF(LEN(AI86)&gt;=8," / "&amp;VLOOKUP(RIGHT(LEFT(AI86,8),2),Voorblad!$X$67:$Y$98,2),""),""),""),""))</f>
        <v>Spanje</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195" t="str">
        <f t="shared" ca="1" si="25"/>
        <v>A1</v>
      </c>
      <c r="AD87" s="1195"/>
      <c r="AE87" s="1195" t="str">
        <f t="shared" ca="1" si="26"/>
        <v>C3</v>
      </c>
      <c r="AF87" s="1195"/>
      <c r="AG87" s="1195" t="str">
        <f t="shared" ca="1" si="29"/>
        <v>A1</v>
      </c>
      <c r="AH87" s="1195"/>
      <c r="AI87" s="1195" t="str">
        <f t="shared" ca="1" si="30"/>
        <v>C3</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Duitsland</v>
      </c>
      <c r="AN87" s="1195"/>
      <c r="AO87" s="729" t="str">
        <f ca="1">IF(AI87="","",IF(LEN(AI87)&gt;=2,VLOOKUP(LEFT(AI87,2),Voorblad!$X$67:$Y$98,2)&amp;IF(LEN(AI87)&gt;=4," / "&amp;VLOOKUP(RIGHT(LEFT(AI87,4),2),Voorblad!$X$67:$Y$98,2)&amp;IF(LEN(AI87)&gt;=6," / "&amp;VLOOKUP(RIGHT(LEFT(AI87,6),2),Voorblad!$X$67:$Y$98,2)&amp;IF(LEN(AI87)&gt;=8," / "&amp;VLOOKUP(RIGHT(LEFT(AI87,8),2),Voorblad!$X$67:$Y$98,2),""),""),""),""))</f>
        <v>Servië</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191" t="str">
        <f t="shared" ca="1" si="25"/>
        <v>C4</v>
      </c>
      <c r="AD88" s="1191"/>
      <c r="AE88" s="1191" t="str">
        <f t="shared" ca="1" si="26"/>
        <v>D1E2F4</v>
      </c>
      <c r="AF88" s="1191"/>
      <c r="AG88" s="1191" t="str">
        <f t="shared" ca="1" si="29"/>
        <v>C4</v>
      </c>
      <c r="AH88" s="1191"/>
      <c r="AI88" s="1191" t="str">
        <f t="shared" ca="1" si="30"/>
        <v>D1E2F4</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D1E2F4&amp;&amp;E1D4F2D2E4D3F3E3F1????????????????????????????????????????????????????????????????</v>
      </c>
      <c r="AM88" s="1191" t="str">
        <f ca="1">IF(AG88="","",IF(LEN(AG88)&gt;=2,VLOOKUP(LEFT(AG88,2),Voorblad!$X$67:$Y$98,2)&amp;IF(LEN(AG88)&gt;=4," / "&amp;VLOOKUP(RIGHT(LEFT(AG88,4),2),Voorblad!$X$67:$Y$98,2)&amp;IF(LEN(AG88)&gt;=6," / "&amp;VLOOKUP(RIGHT(LEFT(AG88,6),2),Voorblad!$X$67:$Y$98,2)&amp;IF(LEN(AG88)&gt;=8," / "&amp;VLOOKUP(RIGHT(LEFT(AG88,8),2),Voorblad!$X$67:$Y$98,2),""),""),""),""))</f>
        <v>Engeland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Polen / Slowakije / Tsjechië</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195" t="str">
        <f t="shared" ca="1" si="25"/>
        <v>B3</v>
      </c>
      <c r="AD89" s="1195"/>
      <c r="AE89" s="1195" t="str">
        <f t="shared" ca="1" si="26"/>
        <v>A2D1E2F4</v>
      </c>
      <c r="AF89" s="1195"/>
      <c r="AG89" s="1195" t="str">
        <f t="shared" ca="1" si="29"/>
        <v>B3</v>
      </c>
      <c r="AH89" s="1195"/>
      <c r="AI89" s="1195" t="str">
        <f t="shared" ca="1" si="30"/>
        <v>D1A2E2F4</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D1A2E2F4&amp;&amp;E1A1D4F2A3D2E4D3F3E3F1A4????????????????????????????????????????????????????????????????</v>
      </c>
      <c r="AM89" s="1195" t="str">
        <f ca="1">IF(AG89="","",IF(LEN(AG89)&gt;=2,VLOOKUP(LEFT(AG89,2),Voorblad!$X$67:$Y$98,2)&amp;IF(LEN(AG89)&gt;=4," / "&amp;VLOOKUP(RIGHT(LEFT(AG89,4),2),Voorblad!$X$67:$Y$98,2)&amp;IF(LEN(AG89)&gt;=6," / "&amp;VLOOKUP(RIGHT(LEFT(AG89,6),2),Voorblad!$X$67:$Y$98,2)&amp;IF(LEN(AG89)&gt;=8," / "&amp;VLOOKUP(RIGHT(LEFT(AG89,8),2),Voorblad!$X$67:$Y$98,2),""),""),""),""))</f>
        <v>Italië</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Polen / Schotland / Slowakije / Tsjechië</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191" t="str">
        <f t="shared" ca="1" si="25"/>
        <v>D2</v>
      </c>
      <c r="AD90" s="1191"/>
      <c r="AE90" s="1191" t="str">
        <f t="shared" ca="1" si="26"/>
        <v>E3</v>
      </c>
      <c r="AF90" s="1191"/>
      <c r="AG90" s="1191" t="str">
        <f t="shared" ca="1" si="29"/>
        <v>D2</v>
      </c>
      <c r="AH90" s="1191"/>
      <c r="AI90" s="1191" t="str">
        <f t="shared" ca="1" si="30"/>
        <v>E3</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Nederland</v>
      </c>
      <c r="AN90" s="1191"/>
      <c r="AO90" s="728" t="str">
        <f ca="1">IF(AI90="","",IF(LEN(AI90)&gt;=2,VLOOKUP(LEFT(AI90,2),Voorblad!$X$67:$Y$98,2)&amp;IF(LEN(AI90)&gt;=4," / "&amp;VLOOKUP(RIGHT(LEFT(AI90,4),2),Voorblad!$X$67:$Y$98,2)&amp;IF(LEN(AI90)&gt;=6," / "&amp;VLOOKUP(RIGHT(LEFT(AI90,6),2),Voorblad!$X$67:$Y$98,2)&amp;IF(LEN(AI90)&gt;=8," / "&amp;VLOOKUP(RIGHT(LEFT(AI90,8),2),Voorblad!$X$67:$Y$98,2),""),""),""),""))</f>
        <v>Roemenië</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195" t="str">
        <f t="shared" ca="1" si="25"/>
        <v>F3</v>
      </c>
      <c r="AD91" s="1195"/>
      <c r="AE91" s="1195" t="str">
        <f t="shared" ca="1" si="26"/>
        <v>A2B2C2</v>
      </c>
      <c r="AF91" s="1195"/>
      <c r="AG91" s="1195" t="str">
        <f t="shared" ca="1" si="29"/>
        <v>F3</v>
      </c>
      <c r="AH91" s="1195"/>
      <c r="AI91" s="1195" t="str">
        <f t="shared" ca="1" si="30"/>
        <v>C2B2A2</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C2B2A2&amp;&amp;B4A1C4A3B3C3C1B1A4????????????????????????????????????????????????????????????????</v>
      </c>
      <c r="AM91" s="1195" t="str">
        <f ca="1">IF(AG91="","",IF(LEN(AG91)&gt;=2,VLOOKUP(LEFT(AG91,2),Voorblad!$X$67:$Y$98,2)&amp;IF(LEN(AG91)&gt;=4," / "&amp;VLOOKUP(RIGHT(LEFT(AG91,4),2),Voorblad!$X$67:$Y$98,2)&amp;IF(LEN(AG91)&gt;=6," / "&amp;VLOOKUP(RIGHT(LEFT(AG91,6),2),Voorblad!$X$67:$Y$98,2)&amp;IF(LEN(AG91)&gt;=8," / "&amp;VLOOKUP(RIGHT(LEFT(AG91,8),2),Voorblad!$X$67:$Y$98,2),""),""),""),""))</f>
        <v>Portugal</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Denemarken / Kroatië / Schotland</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191" t="str">
        <f t="shared" ca="1" si="25"/>
        <v>E1</v>
      </c>
      <c r="AD92" s="1191"/>
      <c r="AE92" s="1191" t="str">
        <f t="shared" ca="1" si="26"/>
        <v>A2B2C2D1</v>
      </c>
      <c r="AF92" s="1191"/>
      <c r="AG92" s="1191" t="str">
        <f t="shared" ca="1" si="29"/>
        <v>E1</v>
      </c>
      <c r="AH92" s="1191"/>
      <c r="AI92" s="1191" t="str">
        <f t="shared" ca="1" si="30"/>
        <v>C2B2D1A2</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C2B2D1A2&amp;&amp;B4A1C4D4A3B3D2D3C3C1B1A4????????????????????????????????????????????????????????????????</v>
      </c>
      <c r="AM92" s="1191" t="str">
        <f ca="1">IF(AG92="","",IF(LEN(AG92)&gt;=2,VLOOKUP(LEFT(AG92,2),Voorblad!$X$67:$Y$98,2)&amp;IF(LEN(AG92)&gt;=4," / "&amp;VLOOKUP(RIGHT(LEFT(AG92,4),2),Voorblad!$X$67:$Y$98,2)&amp;IF(LEN(AG92)&gt;=6," / "&amp;VLOOKUP(RIGHT(LEFT(AG92,6),2),Voorblad!$X$67:$Y$98,2)&amp;IF(LEN(AG92)&gt;=8," / "&amp;VLOOKUP(RIGHT(LEFT(AG92,8),2),Voorblad!$X$67:$Y$98,2),""),""),""),""))</f>
        <v>België</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Denemarken / Kroatië / Polen / Schotland</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195" t="str">
        <f t="shared" ca="1" si="25"/>
        <v>D4</v>
      </c>
      <c r="AD93" s="1195"/>
      <c r="AE93" s="1195" t="str">
        <f t="shared" ca="1" si="26"/>
        <v>F1</v>
      </c>
      <c r="AF93" s="1195"/>
      <c r="AG93" s="1195" t="str">
        <f t="shared" ca="1" si="29"/>
        <v>D4</v>
      </c>
      <c r="AH93" s="1195"/>
      <c r="AI93" s="1195" t="str">
        <f t="shared" ca="1" si="30"/>
        <v>F1</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Frankrijk</v>
      </c>
      <c r="AN93" s="1195"/>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191" t="str">
        <f ca="1">AG21</f>
        <v>B1</v>
      </c>
      <c r="AD96" s="1191"/>
      <c r="AE96" s="1191" t="str">
        <f ca="1">AG17</f>
        <v>A1</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192" t="str">
        <f ca="1">IF(AG96="","",IF(LEN(AG96)&gt;=2,VLOOKUP(LEFT(AG96,2),Voorblad!$X$67:$Y$98,2)&amp;IF(LEN(AG96)&gt;=4," / "&amp;VLOOKUP(RIGHT(LEFT(AG96,4),2),Voorblad!$X$67:$Y$98,2),""),""))</f>
        <v>Spanje</v>
      </c>
      <c r="AN96" s="1192"/>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195" t="str">
        <f ca="1">AG25</f>
        <v>F3</v>
      </c>
      <c r="AD97" s="1195"/>
      <c r="AE97" s="1195" t="str">
        <f ca="1">AG23</f>
        <v>D2</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190" t="str">
        <f ca="1">IF(AG97="","",IF(LEN(AG97)&gt;=2,VLOOKUP(LEFT(AG97,2),Voorblad!$X$67:$Y$98,2)&amp;IF(LEN(AG97)&gt;=4," / "&amp;VLOOKUP(RIGHT(LEFT(AG97,4),2),Voorblad!$X$67:$Y$98,2),""),""))</f>
        <v>Portugal</v>
      </c>
      <c r="AN97" s="1190"/>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191" t="str">
        <f ca="1">AG19</f>
        <v>C4</v>
      </c>
      <c r="AD98" s="1191"/>
      <c r="AE98" s="1191" t="str">
        <f ca="1">AG15</f>
        <v>B3</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192" t="str">
        <f ca="1">IF(AG98="","",IF(LEN(AG98)&gt;=2,VLOOKUP(LEFT(AG98,2),Voorblad!$X$67:$Y$98,2)&amp;IF(LEN(AG98)&gt;=4," / "&amp;VLOOKUP(RIGHT(LEFT(AG98,4),2),Voorblad!$X$67:$Y$98,2),""),""))</f>
        <v>Engeland</v>
      </c>
      <c r="AN98" s="1192"/>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E1</v>
      </c>
      <c r="AD99" s="1195"/>
      <c r="AE99" s="1195" t="str">
        <f ca="1">AG29</f>
        <v>D4</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190" t="str">
        <f ca="1">IF(AG99="","",IF(LEN(AG99)&gt;=2,VLOOKUP(LEFT(AG99,2),Voorblad!$X$67:$Y$98,2)&amp;IF(LEN(AG99)&gt;=4," / "&amp;VLOOKUP(RIGHT(LEFT(AG99,4),2),Voorblad!$X$67:$Y$98,2),""),""))</f>
        <v>België</v>
      </c>
      <c r="AN99" s="1190"/>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B1</v>
      </c>
      <c r="AD102" s="1191"/>
      <c r="AE102" s="1191" t="str">
        <f ca="1">AG39</f>
        <v>D2</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B1</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B1&amp;&amp;B4E1C2A1C4D4F2A3B3B2D2E4D3D1F3E3A2C3C1E2F4F1A4????????????????????????????????????????????????????????????????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D2&amp;&amp;B4E1C2A1C4D4F2A3B3B2E4D3D1F3E3A2C3C1E2B1F4F1A4????????????????????????????????????????????????????????????????</v>
      </c>
      <c r="AM102" s="1192" t="str">
        <f ca="1">IF(AG102="","",IF(LEN(AG102)&gt;=2,VLOOKUP(LEFT(AG102,2),Voorblad!$X$67:$Y$98,2)&amp;IF(LEN(AG102)&gt;=4," / "&amp;VLOOKUP(RIGHT(LEFT(AG102,4),2),Voorblad!$X$67:$Y$98,2),""),""))</f>
        <v>Spanje</v>
      </c>
      <c r="AN102" s="1192"/>
      <c r="AO102" s="717" t="str">
        <f ca="1">IF(AI102="","",IF(LEN(AI102)&gt;=2,VLOOKUP(LEFT(AI102,2),Voorblad!$X$67:$Y$98,2)&amp;IF(LEN(AI102)&gt;=4," / "&amp;VLOOKUP(RIGHT(LEFT(AI102,4),2),Voorblad!$X$67:$Y$98,2),""),""))</f>
        <v>Nederland</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D4</v>
      </c>
      <c r="AD103" s="1195"/>
      <c r="AE103" s="1195" t="str">
        <f ca="1">AG41</f>
        <v>C4</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190" t="str">
        <f ca="1">IF(AG103="","",IF(LEN(AG103)&gt;=2,VLOOKUP(LEFT(AG103,2),Voorblad!$X$67:$Y$98,2)&amp;IF(LEN(AG103)&gt;=4," / "&amp;VLOOKUP(RIGHT(LEFT(AG103,4),2),Voorblad!$X$67:$Y$98,2),""),""))</f>
        <v>Frankrijk</v>
      </c>
      <c r="AN103" s="1190"/>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D2</v>
      </c>
      <c r="AD106" s="1191"/>
      <c r="AE106" s="1191" t="str">
        <f ca="1">AG50</f>
        <v>D4</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D2</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D4</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D2&amp;&amp;B4E1C2A1C4D4F2A3B3B2E4D3D1F3E3A2C3C1E2B1F4F1A4????????????????????????????????????????????????????????????????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D4&amp;&amp;B4E1C2A1C4F2A3B3B2D2E4D3D1F3E3A2C3C1E2B1F4F1A4????????????????????????????????????????????????????????????????</v>
      </c>
      <c r="AM106" s="1192" t="str">
        <f ca="1">IF(AG106="","",IF(LEN(AG106)&gt;=2,VLOOKUP(LEFT(AG106,2),Voorblad!$X$67:$Y$98,2)&amp;IF(LEN(AG106)&gt;=4," / "&amp;VLOOKUP(RIGHT(LEFT(AG106,4),2),Voorblad!$X$67:$Y$98,2),""),""))</f>
        <v>Nederland</v>
      </c>
      <c r="AN106" s="1192"/>
      <c r="AO106" s="717" t="str">
        <f ca="1">IF(AI106="","",IF(LEN(AI106)&gt;=2,VLOOKUP(LEFT(AI106,2),Voorblad!$X$67:$Y$98,2)&amp;IF(LEN(AI106)&gt;=4," / "&amp;VLOOKUP(RIGHT(LEFT(AI106,4),2),Voorblad!$X$67:$Y$98,2),""),""))</f>
        <v>Frankrijk</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Engeland</v>
      </c>
      <c r="AR107" s="725" t="str">
        <f ca="1">RIGHT(LEFT($AK$112,$BA107),2)</f>
        <v>C4</v>
      </c>
      <c r="AS107" s="700" t="str">
        <f ca="1">IF(AT107=$AR$11,$AQ$11,IF(AT107=$AR$12,$AQ$12,VLOOKUP(AT107,Voorblad!$X$67:$Z$98,2,FALSE)))</f>
        <v>Nederland</v>
      </c>
      <c r="AT107" s="701" t="str">
        <f ca="1">RIGHT(LEFT($AK$106,$BA107),2)</f>
        <v>D2</v>
      </c>
      <c r="AU107" s="700" t="str">
        <f ca="1">IF(AV107=$AR$11,$AQ$11,IF(AV107=$AR$12,$AQ$12,VLOOKUP(AV107,Voorblad!$X$67:$Z$98,2,FALSE)))</f>
        <v>Frankrijk</v>
      </c>
      <c r="AV107" s="701" t="str">
        <f ca="1">RIGHT(LEFT($AL$106,$BA107),2)</f>
        <v>D4</v>
      </c>
      <c r="AW107" s="705" t="str">
        <f ca="1">IF(AX107=$AR$11,$AQ$11,IF(AX107=$AR$12,$AQ$12,VLOOKUP(AX107,Voorblad!$X$67:$Z$98,2,FALSE)))</f>
        <v>Spanje</v>
      </c>
      <c r="AX107" s="706" t="str">
        <f ca="1">RIGHT(LEFT($AK$109,$BA107),2)</f>
        <v>B1</v>
      </c>
      <c r="AY107" s="705" t="str">
        <f ca="1">IF(AZ107=$AR$11,$AQ$11,IF(AZ107=$AR$12,$AQ$12,VLOOKUP(AZ107,Voorblad!$X$67:$Z$98,2,FALSE)))</f>
        <v>Engeland</v>
      </c>
      <c r="AZ107" s="706" t="str">
        <f ca="1">RIGHT(LEFT($AL$109,$BA107),2)</f>
        <v>C4</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191" t="str">
        <f ca="1">AG47</f>
        <v>B1</v>
      </c>
      <c r="AD109" s="1191"/>
      <c r="AE109" s="1191" t="str">
        <f ca="1">AG49</f>
        <v>C4</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B1</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C4</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B1&amp;&amp;B4E1C2A1C4D4F2A3B3B2D2E4D3D1F3E3A2C3C1E2F4F1A4????????????????????????????????????????????????????????????????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C4&amp;&amp;B4E1C2A1D4F2A3B3B2D2E4D3D1F3E3A2C3C1E2B1F4F1A4????????????????????????????????????????????????????????????????</v>
      </c>
      <c r="AM109" s="1192" t="str">
        <f ca="1">IF(AG109="","",IF(LEN(AG109)&gt;=2,VLOOKUP(LEFT(AG109,2),Voorblad!$X$67:$Y$98,2)&amp;IF(LEN(AG109)&gt;=4," / "&amp;VLOOKUP(RIGHT(LEFT(AG109,4),2),Voorblad!$X$67:$Y$98,2),""),""))</f>
        <v>Spanje</v>
      </c>
      <c r="AN109" s="1192"/>
      <c r="AO109" s="717" t="str">
        <f ca="1">IF(AI109="","",IF(LEN(AI109)&gt;=2,VLOOKUP(LEFT(AI109,2),Voorblad!$X$67:$Y$98,2)&amp;IF(LEN(AI109)&gt;=4," / "&amp;VLOOKUP(RIGHT(LEFT(AI109,4),2),Voorblad!$X$67:$Y$98,2),""),""))</f>
        <v>Engeland</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191" t="str">
        <f ca="1">AG57</f>
        <v>C4</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C4</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C4&amp;&amp;B4E1C2A1D4F2A3B3B2D2E4D3D1F3E3A2C3C1E2B1F4F1A4????????????????????????????????????????????????????????????????</v>
      </c>
      <c r="AL112" s="1191"/>
      <c r="AM112" s="1192" t="str">
        <f ca="1">IF(AG112="","",IF(LEN(AG112)&gt;=2,VLOOKUP(LEFT(AG112,2),Voorblad!$X$67:$Y$98,2)&amp;IF(LEN(AG112)&gt;=4," / "&amp;VLOOKUP(RIGHT(LEFT(AG112,4),2),Voorblad!$X$67:$Y$98,2),""),""))</f>
        <v>Engeland</v>
      </c>
      <c r="AN112" s="1192"/>
      <c r="AO112" s="1192"/>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Frankrijk</v>
      </c>
      <c r="AR113" s="725" t="str">
        <f t="shared" ca="1" si="31"/>
        <v>D4</v>
      </c>
      <c r="AS113" s="700" t="str">
        <f ca="1">IF(AT113=$AR$11,$AQ$11,IF(AT113=$AR$12,$AQ$12,VLOOKUP(AT113,Voorblad!$X$67:$Z$98,2,FALSE)))</f>
        <v>Engeland</v>
      </c>
      <c r="AT113" s="701" t="str">
        <f t="shared" ca="1" si="32"/>
        <v>C4</v>
      </c>
      <c r="AU113" s="700" t="str">
        <f ca="1">IF(AV113=$AR$11,$AQ$11,IF(AV113=$AR$12,$AQ$12,VLOOKUP(AV113,Voorblad!$X$67:$Z$98,2,FALSE)))</f>
        <v>Engeland</v>
      </c>
      <c r="AV113" s="701" t="str">
        <f t="shared" ca="1" si="33"/>
        <v>C4</v>
      </c>
      <c r="AW113" s="705" t="str">
        <f ca="1">IF(AX113=$AR$11,$AQ$11,IF(AX113=$AR$12,$AQ$12,VLOOKUP(AX113,Voorblad!$X$67:$Z$98,2,FALSE)))</f>
        <v>Engeland</v>
      </c>
      <c r="AX113" s="706" t="str">
        <f t="shared" ca="1" si="34"/>
        <v>C4</v>
      </c>
      <c r="AY113" s="705" t="str">
        <f ca="1">IF(AZ113=$AR$11,$AQ$11,IF(AZ113=$AR$12,$AQ$12,VLOOKUP(AZ113,Voorblad!$X$67:$Z$98,2,FALSE)))</f>
        <v>Frankrijk</v>
      </c>
      <c r="AZ113" s="706" t="str">
        <f t="shared" ca="1" si="35"/>
        <v>D4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Frankrijk</v>
      </c>
      <c r="AX114" s="706" t="str">
        <f t="shared" ca="1" si="34"/>
        <v>D4</v>
      </c>
      <c r="AY114" s="705" t="str">
        <f ca="1">IF(AZ114=$AR$11,$AQ$11,IF(AZ114=$AR$12,$AQ$12,VLOOKUP(AZ114,Voorblad!$X$67:$Z$98,2,FALSE)))</f>
        <v>Georgië</v>
      </c>
      <c r="AZ114" s="706" t="str">
        <f t="shared" ca="1" si="35"/>
        <v>F2</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Georgië</v>
      </c>
      <c r="AX115" s="706" t="str">
        <f t="shared" ca="1" si="34"/>
        <v>F2</v>
      </c>
      <c r="AY115" s="705" t="str">
        <f ca="1">IF(AZ115=$AR$11,$AQ$11,IF(AZ115=$AR$12,$AQ$12,VLOOKUP(AZ115,Voorblad!$X$67:$Z$98,2,FALSE)))</f>
        <v>Hongarije</v>
      </c>
      <c r="AZ115" s="706" t="str">
        <f t="shared" ca="1" si="35"/>
        <v>A3</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Hongarije</v>
      </c>
      <c r="AX116" s="706" t="str">
        <f t="shared" ca="1" si="34"/>
        <v>A3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|CH|IT|DE|RS|GB|PL|ES|SC|NL|RO|PT|HR|BE|DK|FR|TR|</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Oekraïne</v>
      </c>
      <c r="AT119" s="701" t="str">
        <f t="shared" ca="1" si="32"/>
        <v>E4</v>
      </c>
      <c r="AU119" s="700" t="str">
        <f ca="1">IF(AV119=$AR$11,$AQ$11,IF(AV119=$AR$12,$AQ$12,VLOOKUP(AV119,Voorblad!$X$67:$Z$98,2,FALSE)))</f>
        <v>Oekraïne</v>
      </c>
      <c r="AV119" s="701" t="str">
        <f t="shared" ca="1" si="33"/>
        <v>E4</v>
      </c>
      <c r="AW119" s="705" t="str">
        <f ca="1">IF(AX119=$AR$11,$AQ$11,IF(AX119=$AR$12,$AQ$12,VLOOKUP(AX119,Voorblad!$X$67:$Z$98,2,FALSE)))</f>
        <v>Nederland</v>
      </c>
      <c r="AX119" s="706" t="str">
        <f t="shared" ca="1" si="34"/>
        <v>D2</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Oostenrijk</v>
      </c>
      <c r="AT120" s="701" t="str">
        <f t="shared" ca="1" si="32"/>
        <v>D3</v>
      </c>
      <c r="AU120" s="700" t="str">
        <f ca="1">IF(AV120=$AR$11,$AQ$11,IF(AV120=$AR$12,$AQ$12,VLOOKUP(AV120,Voorblad!$X$67:$Z$98,2,FALSE)))</f>
        <v>Oostenrijk</v>
      </c>
      <c r="AV120" s="701" t="str">
        <f t="shared" ca="1" si="33"/>
        <v>D3</v>
      </c>
      <c r="AW120" s="705" t="str">
        <f ca="1">IF(AX120=$AR$11,$AQ$11,IF(AX120=$AR$12,$AQ$12,VLOOKUP(AX120,Voorblad!$X$67:$Z$98,2,FALSE)))</f>
        <v>Oekraïne</v>
      </c>
      <c r="AX120" s="706" t="str">
        <f t="shared" ca="1" si="34"/>
        <v>E4</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Polen</v>
      </c>
      <c r="AT121" s="701" t="str">
        <f t="shared" ca="1" si="32"/>
        <v>D1</v>
      </c>
      <c r="AU121" s="700" t="str">
        <f ca="1">IF(AV121=$AR$11,$AQ$11,IF(AV121=$AR$12,$AQ$12,VLOOKUP(AV121,Voorblad!$X$67:$Z$98,2,FALSE)))</f>
        <v>Polen</v>
      </c>
      <c r="AV121" s="701" t="str">
        <f t="shared" ca="1" si="33"/>
        <v>D1</v>
      </c>
      <c r="AW121" s="705" t="str">
        <f ca="1">IF(AX121=$AR$11,$AQ$11,IF(AX121=$AR$12,$AQ$12,VLOOKUP(AX121,Voorblad!$X$67:$Z$98,2,FALSE)))</f>
        <v>Oostenrijk</v>
      </c>
      <c r="AX121" s="706" t="str">
        <f t="shared" ca="1" si="34"/>
        <v>D3</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Polen</v>
      </c>
      <c r="AX122" s="706" t="str">
        <f t="shared" ca="1" si="34"/>
        <v>D1</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Portugal</v>
      </c>
      <c r="AX123" s="706" t="str">
        <f t="shared" ca="1" si="34"/>
        <v>F3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Roemenië</v>
      </c>
      <c r="AX124" s="706" t="str">
        <f t="shared" ca="1" si="34"/>
        <v>E3</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Schotland</v>
      </c>
      <c r="AX125" s="706" t="str">
        <f t="shared" ca="1" si="34"/>
        <v>A2</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Servië</v>
      </c>
      <c r="AX126" s="706" t="str">
        <f t="shared" ca="1" si="34"/>
        <v>C3</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Slovenië</v>
      </c>
      <c r="AX127" s="706" t="str">
        <f t="shared" ca="1" si="34"/>
        <v>C1</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Slowakije</v>
      </c>
      <c r="AX128" s="706" t="str">
        <f t="shared" ca="1" si="34"/>
        <v>E2</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PL</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SC</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DK</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IT</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3</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2</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15</v>
      </c>
      <c r="AS143" s="1237" t="s">
        <v>1908</v>
      </c>
      <c r="AT143" s="1237"/>
      <c r="AU143" s="1237"/>
      <c r="AV143" s="1237"/>
      <c r="AW143" s="1237"/>
      <c r="AX143" s="1237"/>
      <c r="AY143" s="285" t="str">
        <f>Voorblad!Z68</f>
        <v>SC</v>
      </c>
      <c r="AZ143" s="285">
        <f t="shared" ca="1" si="40"/>
        <v>1</v>
      </c>
      <c r="BA143" s="285">
        <f t="shared" ca="1" si="41"/>
        <v>2</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238">
        <f>LARGE(AB14:AB56,1)</f>
        <v>3</v>
      </c>
      <c r="AV144" s="1238"/>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1</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.CH.IT.DE.RS.GB.PL.ES.SC.NL.RO.PT.HR.BE.DK.FR.TR.</v>
      </c>
      <c r="AS146" s="744"/>
      <c r="AT146" s="744"/>
      <c r="AU146" s="744"/>
      <c r="AV146" s="744"/>
      <c r="AW146" s="265"/>
      <c r="AX146" s="72"/>
      <c r="AY146" s="285" t="str">
        <f>Voorblad!Z71</f>
        <v>ES</v>
      </c>
      <c r="AZ146" s="285">
        <f t="shared" ca="1" si="40"/>
        <v>7</v>
      </c>
      <c r="BA146" s="285">
        <f t="shared" ca="1" si="41"/>
        <v>5</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.ES.DE.PT.NL.GB.IT.BE.FR.</v>
      </c>
      <c r="AS147" s="744"/>
      <c r="AT147" s="744"/>
      <c r="AU147" s="744"/>
      <c r="AV147" s="744"/>
      <c r="AW147" s="265"/>
      <c r="AX147" s="72"/>
      <c r="AY147" s="285" t="str">
        <f>Voorblad!Z72</f>
        <v>HR</v>
      </c>
      <c r="AZ147" s="285">
        <f t="shared" ca="1" si="40"/>
        <v>1</v>
      </c>
      <c r="BA147" s="285">
        <f t="shared" ca="1" si="41"/>
        <v>2</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.ES.NL.FR.GB.</v>
      </c>
      <c r="AS148" s="744"/>
      <c r="AT148" s="744"/>
      <c r="AU148" s="744"/>
      <c r="AV148" s="744"/>
      <c r="AW148" s="265"/>
      <c r="AX148" s="72"/>
      <c r="AY148" s="285" t="str">
        <f>Voorblad!Z73</f>
        <v>IT</v>
      </c>
      <c r="AZ148" s="285">
        <f t="shared" ca="1" si="40"/>
        <v>3</v>
      </c>
      <c r="BA148" s="285">
        <f t="shared" ca="1" si="41"/>
        <v>3</v>
      </c>
    </row>
    <row r="149" spans="26:53" x14ac:dyDescent="0.25">
      <c r="AB149" s="419"/>
      <c r="AC149" s="494" t="s">
        <v>438</v>
      </c>
      <c r="AD149" s="419"/>
      <c r="AE149" s="419"/>
      <c r="AF149" s="419"/>
      <c r="AG149" s="758" t="s">
        <v>69</v>
      </c>
      <c r="AH149" s="494">
        <f ca="1">AR143</f>
        <v>15</v>
      </c>
      <c r="AI149" s="494"/>
      <c r="AJ149" s="494"/>
      <c r="AK149" s="494"/>
      <c r="AL149" s="748" t="s">
        <v>381</v>
      </c>
      <c r="AM149" s="494">
        <f ca="1">IF($AP$71="GOED",AH149,"onvoldoende gegevens")</f>
        <v>15</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0</v>
      </c>
      <c r="AI150" s="495"/>
      <c r="AJ150" s="495"/>
      <c r="AK150" s="495"/>
      <c r="AL150" s="754" t="s">
        <v>381</v>
      </c>
      <c r="AM150" s="496">
        <f ca="1">IF($AP$71="GOED",AH150,"onvoldoende gegevens")</f>
        <v>0</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.ES.GB.</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|DE|GB|IT|PT|FR|BE|YY|ZZ|</v>
      </c>
      <c r="AG152" s="419"/>
      <c r="AH152" s="419"/>
      <c r="AI152" s="419"/>
      <c r="AJ152" s="419"/>
      <c r="AK152" s="419"/>
      <c r="AL152" s="419"/>
      <c r="AM152" s="419"/>
      <c r="AN152" s="419"/>
      <c r="AO152" s="498" t="s">
        <v>461</v>
      </c>
      <c r="AP152" s="757">
        <f ca="1">COUNTIF(AM153:AM154,"JA")</f>
        <v>1</v>
      </c>
      <c r="AQ152" s="500" t="s">
        <v>389</v>
      </c>
      <c r="AR152" s="746" t="str">
        <f ca="1">"."&amp;IF(AP59=3,AF59&amp;".","")</f>
        <v>.GB.</v>
      </c>
      <c r="AS152" s="265"/>
      <c r="AT152" s="718"/>
      <c r="AU152" s="265"/>
      <c r="AV152" s="72"/>
      <c r="AW152" s="265"/>
      <c r="AX152" s="72"/>
      <c r="AY152" s="285" t="str">
        <f>Voorblad!Z77</f>
        <v>RS</v>
      </c>
      <c r="AZ152" s="285">
        <f t="shared" ca="1" si="40"/>
        <v>0</v>
      </c>
      <c r="BA152" s="285">
        <f t="shared" ca="1" si="41"/>
        <v>2</v>
      </c>
    </row>
    <row r="153" spans="26:53" x14ac:dyDescent="0.25">
      <c r="AB153" s="419"/>
      <c r="AC153" s="494" t="s">
        <v>2446</v>
      </c>
      <c r="AD153" s="419"/>
      <c r="AE153" s="419" t="s">
        <v>69</v>
      </c>
      <c r="AF153" s="419" t="str">
        <f ca="1">IF($AK$56="GOED",$AD$56,$AK$56)</f>
        <v>ES</v>
      </c>
      <c r="AG153" s="419"/>
      <c r="AH153" s="419"/>
      <c r="AI153" s="419"/>
      <c r="AJ153" s="419"/>
      <c r="AK153" s="419"/>
      <c r="AL153" s="748" t="s">
        <v>381</v>
      </c>
      <c r="AM153" s="494" t="str">
        <f ca="1">IF(OR(AF153="LEEG",AF153="FOUT",AF153="ONGELDIG"),"onvoldoende gegevens",IF(SUBSTITUTE($AF$152,AF153,"##")=$AF$152,"NEE","JA"))</f>
        <v>NEE</v>
      </c>
      <c r="AN153" s="419"/>
      <c r="AO153" s="498" t="s">
        <v>1055</v>
      </c>
      <c r="AP153" s="757">
        <v>2</v>
      </c>
      <c r="AQ153" s="265"/>
      <c r="AR153" s="718"/>
      <c r="AS153" s="265"/>
      <c r="AT153" s="72"/>
      <c r="AU153" s="265"/>
      <c r="AV153" s="718"/>
      <c r="AW153" s="265"/>
      <c r="AX153" s="72"/>
      <c r="AY153" s="285" t="str">
        <f>Voorblad!Z78</f>
        <v>GB</v>
      </c>
      <c r="AZ153" s="285">
        <f t="shared" ca="1" si="40"/>
        <v>8</v>
      </c>
      <c r="BA153" s="285">
        <f t="shared" ca="1" si="41"/>
        <v>4</v>
      </c>
    </row>
    <row r="154" spans="26:53" x14ac:dyDescent="0.25">
      <c r="AB154" s="419"/>
      <c r="AC154" s="494" t="s">
        <v>2447</v>
      </c>
      <c r="AD154" s="419"/>
      <c r="AE154" s="419" t="s">
        <v>69</v>
      </c>
      <c r="AF154" s="419" t="str">
        <f ca="1">IF($AL$56="GOED",$AF$56,$AL$56)</f>
        <v>GB</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1</v>
      </c>
      <c r="AQ154" s="747" t="s">
        <v>1044</v>
      </c>
      <c r="AR154" s="718"/>
      <c r="AS154" s="265"/>
      <c r="AT154" s="72"/>
      <c r="AU154" s="265"/>
      <c r="AV154" s="718"/>
      <c r="AW154" s="265"/>
      <c r="AX154" s="72"/>
      <c r="AY154" s="285" t="str">
        <f>Voorblad!Z79</f>
        <v>PL</v>
      </c>
      <c r="AZ154" s="285">
        <f t="shared" ca="1" si="40"/>
        <v>1</v>
      </c>
      <c r="BA154" s="285">
        <f t="shared" ca="1" si="41"/>
        <v>2</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NEE</v>
      </c>
      <c r="AP155" s="502"/>
      <c r="AQ155" s="500">
        <v>1</v>
      </c>
      <c r="AR155" s="746" t="str">
        <f ca="1">AO124</f>
        <v>JA</v>
      </c>
      <c r="AS155" s="265"/>
      <c r="AT155" s="72"/>
      <c r="AU155" s="265"/>
      <c r="AV155" s="718"/>
      <c r="AW155" s="265"/>
      <c r="AX155" s="72"/>
      <c r="AY155" s="285" t="str">
        <f>Voorblad!Z80</f>
        <v>NL</v>
      </c>
      <c r="AZ155" s="285">
        <f t="shared" ca="1" si="40"/>
        <v>5</v>
      </c>
      <c r="BA155" s="285">
        <f t="shared" ca="1" si="41"/>
        <v>4</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1</v>
      </c>
      <c r="AQ157" s="500">
        <f t="shared" ref="AQ157:AQ169" si="42">AQ156+1</f>
        <v>3</v>
      </c>
      <c r="AR157" s="746" t="str">
        <f ca="1">AO144</f>
        <v>NEE</v>
      </c>
      <c r="AS157" s="265"/>
      <c r="AT157" s="72"/>
      <c r="AU157" s="265"/>
      <c r="AV157" s="718"/>
      <c r="AW157" s="746"/>
      <c r="AX157" s="72"/>
      <c r="AY157" s="285" t="str">
        <f>Voorblad!Z82</f>
        <v>FR</v>
      </c>
      <c r="AZ157" s="285">
        <f t="shared" ca="1" si="40"/>
        <v>5</v>
      </c>
      <c r="BA157" s="285">
        <f t="shared" ca="1" si="41"/>
        <v>3</v>
      </c>
    </row>
    <row r="158" spans="26:53" x14ac:dyDescent="0.25">
      <c r="AB158" s="419"/>
      <c r="AC158" s="494" t="s">
        <v>1059</v>
      </c>
      <c r="AD158" s="419"/>
      <c r="AE158" s="419" t="s">
        <v>69</v>
      </c>
      <c r="AF158" s="419" t="str">
        <f ca="1">IF($AL$59="GOED",$AF$59,$AL$59)</f>
        <v>GB</v>
      </c>
      <c r="AG158" s="419"/>
      <c r="AH158" s="419"/>
      <c r="AI158" s="419"/>
      <c r="AJ158" s="419"/>
      <c r="AK158" s="419"/>
      <c r="AL158" s="748" t="s">
        <v>381</v>
      </c>
      <c r="AM158" s="494" t="str">
        <f ca="1">IF(OR(AF158="LEEG",AF158="FOUT",AF158="ONGELDIG"),"onvoldoende gegevens",IF(SUBSTITUTE($AF$157,AF158,"##")=$AF$157,"NEE","JA"))</f>
        <v>JA</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3</v>
      </c>
      <c r="BA158" s="285">
        <f t="shared" ca="1" si="41"/>
        <v>3</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0</v>
      </c>
      <c r="AQ159" s="500">
        <f t="shared" si="42"/>
        <v>5</v>
      </c>
      <c r="AR159" s="746" t="str">
        <f ca="1">AO155</f>
        <v>NEE</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JA</v>
      </c>
      <c r="AP160" s="502"/>
      <c r="AQ160" s="500">
        <f t="shared" si="42"/>
        <v>6</v>
      </c>
      <c r="AR160" s="746" t="str">
        <f ca="1">AO183</f>
        <v>JA</v>
      </c>
      <c r="AS160" s="265"/>
      <c r="AT160" s="72"/>
      <c r="AU160" s="265"/>
      <c r="AV160" s="718"/>
      <c r="AW160" s="746"/>
      <c r="AX160" s="72"/>
      <c r="AY160" s="285" t="str">
        <f>Voorblad!Z85</f>
        <v>RO</v>
      </c>
      <c r="AZ160" s="285">
        <f t="shared" ca="1" si="40"/>
        <v>1</v>
      </c>
      <c r="BA160" s="285">
        <f t="shared" ca="1" si="41"/>
        <v>2</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JA</v>
      </c>
      <c r="AS161" s="72"/>
      <c r="AT161" s="72"/>
      <c r="AU161" s="72"/>
      <c r="AV161" s="72"/>
      <c r="AW161" s="72"/>
      <c r="AX161" s="72"/>
      <c r="AY161" s="285" t="str">
        <f>Voorblad!Z86</f>
        <v>UA</v>
      </c>
      <c r="AZ161" s="285">
        <f t="shared" ca="1" si="40"/>
        <v>0</v>
      </c>
      <c r="BA161" s="285">
        <f t="shared" ca="1" si="41"/>
        <v>0</v>
      </c>
    </row>
    <row r="162" spans="28:53" x14ac:dyDescent="0.25">
      <c r="AB162" s="769"/>
      <c r="AC162" s="764" t="s">
        <v>1059</v>
      </c>
      <c r="AD162" s="763"/>
      <c r="AE162" s="763" t="s">
        <v>69</v>
      </c>
      <c r="AF162" s="763" t="str">
        <f ca="1">IF($AL$59="GOED",$AF$59,$AL$59)</f>
        <v>GB</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2</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3</v>
      </c>
      <c r="BA164" s="285">
        <f t="shared" ca="1" si="41"/>
        <v>3</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0</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1</v>
      </c>
      <c r="AR180" s="47"/>
      <c r="AT180" s="47"/>
      <c r="AV180" s="47"/>
      <c r="AX180" s="47"/>
      <c r="AZ180" s="47"/>
    </row>
    <row r="181" spans="28:53" x14ac:dyDescent="0.25">
      <c r="AB181" s="419"/>
      <c r="AC181" s="494" t="s">
        <v>2446</v>
      </c>
      <c r="AD181" s="419"/>
      <c r="AE181" s="419" t="s">
        <v>69</v>
      </c>
      <c r="AF181" s="419" t="str">
        <f ca="1">IF($AK$56="GOED",$AD$56,$AK$56)</f>
        <v>ES</v>
      </c>
      <c r="AG181" s="419"/>
      <c r="AH181" s="419"/>
      <c r="AI181" s="419"/>
      <c r="AJ181" s="419"/>
      <c r="AK181" s="419"/>
      <c r="AL181" s="748" t="s">
        <v>381</v>
      </c>
      <c r="AM181" s="494" t="str">
        <f ca="1">IF(OR(AF181="LEEG",AF181="FOUT",AF181="ONGELDIG"),"onvoldoende gegevens",IF(SUBSTITUTE($AF$152,AF181,"##")=$AF$152,"NEE","JA"))</f>
        <v>NEE</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GB</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1</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DIT WERKBLAD IS NIET VAN TOEPASSING. DE ORGANISATOR HEEFT GEKOZEN OM DE TEAMS FUNCTIE NIET TE GEBRUIKEN.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89" t="str">
        <f ca="1">Taal04!$B$159</f>
        <v>De Deelnamecode</v>
      </c>
      <c r="E3" s="1289"/>
      <c r="F3" s="1289"/>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20|12|11|20|12|01|12|21|20|02|21|20|20|20|01|12|21|11|11|21|12|01|12|20|12|21|03|12|30|21|20|12|11|02|12|12|DE.CH.SC.HU|IT.ES.HR.AL|GB.RS.DK.SI|FR.NL.PL.AT|BE.RO.SK.UA|PT.TR.CZ.GE|CHIT12|DERS20|GBPL21|ESSC21|NLRO21|PTHR21|BEDK21|FRTR20|ESDE21|PTNL12|GBIT21|BEFR12|ESNL21|FRGB12|ESGB12|GB||Johan#*Hendriks#*(Jamilo)25||johan@jamilo.nl15]</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|Johan#*Hendriks#*(Jamilo)25</v>
      </c>
      <c r="U62" s="303"/>
      <c r="V62" s="303"/>
      <c r="W62" s="303"/>
      <c r="X62" s="303"/>
      <c r="Y62" s="303"/>
      <c r="Z62" s="306">
        <f>B63</f>
        <v>10</v>
      </c>
      <c r="AA62" s="303"/>
      <c r="AB62" s="303"/>
      <c r="AC62" s="305" t="s">
        <v>487</v>
      </c>
      <c r="AD62" s="303" t="str">
        <f>IF($N$53="G1e",Groepswedstrijden!AA88,IF($N$53="G2e",#REF!,0))</f>
        <v>|johan@jamilo.nl15</v>
      </c>
      <c r="AE62" s="303"/>
      <c r="AF62" s="303"/>
      <c r="AG62" s="303"/>
      <c r="AH62" s="303"/>
    </row>
    <row r="63" spans="2:34" hidden="1" x14ac:dyDescent="0.25">
      <c r="B63" s="1263">
        <v>10</v>
      </c>
      <c r="C63" s="1263"/>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25</v>
      </c>
      <c r="U64" s="303"/>
      <c r="V64" s="303"/>
      <c r="W64" s="303"/>
      <c r="X64" s="303"/>
      <c r="Y64" s="303"/>
      <c r="Z64" s="303" t="str">
        <f>IF(Z63-FLOOR(Z63,1)&gt;0,Z63+0.1,"")</f>
        <v/>
      </c>
      <c r="AA64" s="303"/>
      <c r="AB64" s="303"/>
      <c r="AC64" s="305" t="s">
        <v>488</v>
      </c>
      <c r="AD64" s="76" t="str">
        <f>IF(CODE(RIGHT(AD62,1))=35,LEFT(RIGHT(AD62,2),1),RIGHT(AD62,2))</f>
        <v>15</v>
      </c>
      <c r="AE64" s="303"/>
      <c r="AF64" s="303"/>
      <c r="AG64" s="303"/>
      <c r="AH64" s="303"/>
    </row>
    <row r="65" spans="2:34" hidden="1" x14ac:dyDescent="0.25">
      <c r="B65" s="1264">
        <v>11.2</v>
      </c>
      <c r="C65" s="1264"/>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28 = goed / 0 = leeg</v>
      </c>
      <c r="V65" s="303"/>
      <c r="W65" s="303"/>
      <c r="X65" s="303"/>
      <c r="Y65" s="303"/>
      <c r="Z65" s="303"/>
      <c r="AA65" s="303"/>
      <c r="AB65" s="303"/>
      <c r="AC65" s="305" t="s">
        <v>333</v>
      </c>
      <c r="AD65" s="76" t="str">
        <f>IF(AD64*1=0,"LEEG",IF(AD64*1&gt;64,"LANG",IF(LEN(AD62)=AD64*1+3,"GOED","FOUT")))</f>
        <v>GOED</v>
      </c>
      <c r="AE65" s="324" t="str">
        <f>AD64+3&amp;" = goed / 0 = leeg"</f>
        <v>18 = goed / 0 = leeg</v>
      </c>
      <c r="AF65" s="303"/>
      <c r="AG65" s="303"/>
      <c r="AH65" s="303"/>
    </row>
    <row r="66" spans="2:34" hidden="1" x14ac:dyDescent="0.25">
      <c r="B66" s="1264">
        <v>12.1</v>
      </c>
      <c r="C66" s="1264"/>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De naamcode inclusief e-mailadres is zonder foutmeldingen gegenereerd.</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|20|12|11|20|12|01|12|21|20|02|21|20|20|20|01|12|21|11|11|21|12|01|12|20|12|21|03|12|30|21|20|12|11|02|12|12|</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Voorspellingen Groepswedstrijden:</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Het genereren van de deelnamecode voor de groepswedstrijden is niet mogelijk in verband met het ontbreken</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van gegevens. Controleer of alle velden zijn ingevuld op het werkblad "Groepswedstrijden".</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7">
        <v>22.1</v>
      </c>
      <c r="C73" s="1267"/>
      <c r="D73" s="303" t="str">
        <f ca="1">Taal04!$B$181</f>
        <v>Bij het genereren van de deelnamecode voor de groepswedstrijden is er een fout geconstateerd. Controleer uw</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7">
        <v>22.2</v>
      </c>
      <c r="C74" s="1267"/>
      <c r="D74" s="303" t="str">
        <f ca="1">Taal04!$B$182</f>
        <v>invoer op het werkblad "Groepswedstrijden".</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7">
        <v>22.5</v>
      </c>
      <c r="C75" s="1267"/>
      <c r="D75" s="303" t="str">
        <f ca="1">Taal04!$B$183</f>
        <v>Bij het genereren van de deelnamecode voor de groepswedstrijden zijn er fouten geconstateerd. Controleer uw</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7">
        <v>22.6</v>
      </c>
      <c r="C76" s="1267"/>
      <c r="D76" s="303" t="str">
        <f ca="1">Taal04!$B$184</f>
        <v>invoer op het werkblad "Groepswedstrijden".</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7">
        <v>23</v>
      </c>
      <c r="C77" s="1267"/>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3">
        <v>25</v>
      </c>
      <c r="C78" s="1263"/>
      <c r="D78" s="302" t="str">
        <f ca="1">Taal04!$B$187&amp;":"</f>
        <v>Voorspellingen Eindstand in de Groep:</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Het genereren van de deelnamecode voor de eindstand in de groep is niet mogelijk in verband met het</v>
      </c>
      <c r="E79" s="303"/>
      <c r="F79" s="303"/>
      <c r="G79" s="303"/>
      <c r="H79" s="303"/>
      <c r="I79" s="303"/>
      <c r="J79" s="303"/>
      <c r="K79" s="303"/>
      <c r="L79" s="303"/>
      <c r="M79" s="303"/>
      <c r="N79" s="303"/>
      <c r="O79" s="1278"/>
      <c r="P79" s="303"/>
      <c r="Q79" s="303"/>
      <c r="R79" s="303"/>
      <c r="S79" s="305" t="s">
        <v>346</v>
      </c>
      <c r="T79" s="311" t="str">
        <f ca="1">IF($N$54="E1e",'Eindstand Groep'!X57,0)</f>
        <v>DE.CH.SC.HU|IT.ES.HR.AL|GB.RS.DK.SI|FR.NL.PL.AT|BE.RO.SK.UA|PT.TR.CZ.GE|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ontbreken van gegevens. Controleer of alle velden zijn ingevuld op het werkblad "Eindstand Groep".</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7">
        <v>27.1</v>
      </c>
      <c r="C81" s="1267"/>
      <c r="D81" s="303" t="str">
        <f ca="1">Taal04!$B$190</f>
        <v>Bij het genereren van de deelnamecode voor de eindstand in de groep is er een fout geconstateerd.</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7">
        <v>27.2</v>
      </c>
      <c r="C82" s="1267"/>
      <c r="D82" s="303" t="str">
        <f ca="1">Taal04!$B$191</f>
        <v>Controleer uw invoer op het werkblad "Eindstand Groep".</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7">
        <v>27.5</v>
      </c>
      <c r="C83" s="1267"/>
      <c r="D83" s="303" t="str">
        <f ca="1">Taal04!$B$192</f>
        <v>Bij het genereren van de deelnamecode voor de eindstand in de groep zijn er fouten geconstateerd.</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7">
        <v>27.6</v>
      </c>
      <c r="C84" s="1267"/>
      <c r="D84" s="303" t="str">
        <f ca="1">Taal04!$B$193</f>
        <v>Controleer uw invoer op het werkblad "Eindstand Groep".</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7">
        <v>28</v>
      </c>
      <c r="C85" s="1267"/>
      <c r="D85" s="303" t="str">
        <f ca="1">Taal04!$B$194</f>
        <v>De deelnamecode voor de eindstand in de groep is zonder foutmeldingen gegenereerd.</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3">
        <v>30</v>
      </c>
      <c r="C86" s="1263"/>
      <c r="D86" s="302" t="str">
        <f ca="1">Taal04!$B$196&amp;":"</f>
        <v>Voorspellingen Finalewedstrijden:</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van gegevens. Controleer of alle velden zijn ingevuld op het werkblad "Finalewedstrijden".</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7">
        <v>32.1</v>
      </c>
      <c r="C89" s="1267"/>
      <c r="D89" s="303" t="str">
        <f ca="1">Taal04!$B$199</f>
        <v>Bij het genereren van de deelnamecode voor de finalewedstrijden is er een fout geconstateerd. Controleer uw</v>
      </c>
      <c r="E89" s="303"/>
      <c r="F89" s="303"/>
      <c r="G89" s="303"/>
      <c r="H89" s="303"/>
      <c r="I89" s="303"/>
      <c r="J89" s="303"/>
      <c r="K89" s="303"/>
      <c r="L89" s="303"/>
      <c r="M89" s="303"/>
      <c r="N89" s="303"/>
      <c r="O89" s="1278"/>
      <c r="P89" s="303"/>
      <c r="Q89" s="303"/>
      <c r="R89" s="303"/>
      <c r="S89" s="305" t="s">
        <v>352</v>
      </c>
      <c r="T89" s="303" t="str">
        <f ca="1">IF($N$55="F1e",Finalewedstrijden!AN71,IF($N$55="F2e",#REF!,IF($N$55="F3e",#REF!,0)))</f>
        <v>CHIT12|DERS20|GBPL21|ESSC21|NLRO21|PTHR21|BEDK21|FRTR20|ESDE21|PTNL12|GBIT21|BEFR12|ESNL21|FRGB12|ESGB12|</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7">
        <v>32.200000000000003</v>
      </c>
      <c r="C90" s="1267"/>
      <c r="D90" s="303" t="str">
        <f ca="1">Taal04!$B$200</f>
        <v>invoer op het werkblad "Finalewedstrijden".</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Bij het genereren van de deelnamecode voor de finalewedstrijden zijn er fouten geconstateerd. Controleer uw</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invoer op het werkblad "Finalewedstrijden".</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De deelnamecode voor de finalewedstrijden is zonder foutmeldingen gegenereerd.</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Voorspelling Winnaar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Het genereren van de deelnamecode voor de winnaar van het EK is niet mogelijk in verband met het ontbreken</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van gegevens. Voorspel de winnaar van het EK op het werkblad "Finalewedstrijden".</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GB|</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Gegevens Deelnemer</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Voorspellingen Groepswedstrijden</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Voorspellingen Eindstand in de Groep</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Voorspellingen Finalewedstrijden</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Voorspelling Winnaar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Bonusvragen</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De deelnamecode kan niet worden gegenereerd door het ontbreken van gegevens of foutieve waarden. Het gaat om het volgende onderdeel</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Dit deelname formulier betreft een demo-versie voor het EK 2024 in Duitsland. Het generenen van een deelnamecode is hierin uitgeschakeld ongeacht of alle onderdelen juist zijn ingevuld.</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De deelnamecode kan niet worden gegenereerd door het ontbreken van het reglement. Vraag uw organisator om het reglement toe te voegen aan uw deelname formulier.</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20|12|11|20|12|01|12|21|20|02|21|20|20|20|01|12|21|11|11|21|12|01|12|20|12|21|03|12|30|21|20|12|11|02|12|12|DE.CH.SC.HU|IT.ES.HR.AL|GB.RS.DK.SI|FR.NL.PL.AT|BE.RO.SK.UA|PT.TR.CZ.GE|CHIT12|DERS20|GBPL21|ESSC21|NLRO21|PTHR21|BEDK21|FRTR20|ESDE21|PTNL12|GBIT21|BEFR12|ESNL21|FRGB12|ESGB12|GB||Johan#*Hendriks#*(Jamilo)25||johan@jamilo.nl15]</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20|12|11|20|12|01|12|21|20|02|21|20|20|20|01|12|21|11|11|21|12|01|12|20|12|21|03|12|30|21|20|12|11|02|12|12|DE.CH.SC.HU|IT.ES.HR.AL|GB.RS.DK.SI|FR.NL.PL.AT|BE.RO.SK.UA|PT.TR.CZ.GE|CHIT12|DERS20|GBPL21|ESSC21|NLRO21|PTHR21|BEDK21|FRTR20|ESDE21|PTNL12|GBIT21|BEFR12|ESNL21|FRGB12|ESGB12|GB||Johan#*Hendriks#*(Jamilo)25||johan@jamilo.nl15]</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20|12|11|20|12|01|12|21|20|02|21|20|20|20|01|12|21|11|11|21|12|01|12|20|12|21|03|12|30|21|20|12|11|02|12|12|DE.CH.SC.HU|IT.ES.HR.AL|GB.RS.DK.SI|FR.NL.PL.AT|BE.RO.SK.UA|PT.TR.CZ.GE|CHIT12|DERS20|GBPL21|ESSC21|NLRO21|PTHR21|BEDK21|FRTR20|ESDE21|PTNL12|GBIT21|BEFR12|ESNL21|FRGB12|ESGB12|GB||Johan#*Hendriks#*(Jamilo)25||johan@jamilo.nl15]</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E1D4F2D2E4D3D1F3E3E2F4F1</v>
      </c>
      <c r="H92" s="1028"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25" t="str">
        <f t="shared" ca="1" si="7"/>
        <v>B4C2A1C4A3B3B2A2C3C1B1A4</v>
      </c>
      <c r="J92" s="1028" t="str">
        <f t="shared" ca="1" si="7"/>
        <v>B4C2A1C4D4A3B3B2D2D3D1A2C3C1B1A4</v>
      </c>
      <c r="K92" s="1025" t="str">
        <f t="shared" ca="1" si="7"/>
        <v>B4E1A1D4F2A3B3B2D2E4D3D1F3E3A2E2B1F4F1A4</v>
      </c>
      <c r="L92" s="1028" t="str">
        <f t="shared" ca="1" si="7"/>
        <v>C2A1C4A3A2C3C1A4</v>
      </c>
      <c r="M92" s="1025" t="str">
        <f t="shared" ca="1" si="7"/>
        <v>B4C2A1C4F2A3B3B2F3A2C3C1B1F4F1A4</v>
      </c>
      <c r="N92" s="1028" t="str">
        <f t="shared" ca="1" si="7"/>
        <v>E1D4D2E4D3D1E3E2</v>
      </c>
      <c r="O92" s="1025" t="str">
        <f t="shared" ca="1" si="7"/>
        <v>E1C2C4D4F2D2E4D3D1F3E3C3C1E2F4F1</v>
      </c>
      <c r="P92" s="1028" t="str">
        <f t="shared" ca="1" si="7"/>
        <v>B4A1A3B3B2A2B1A4</v>
      </c>
      <c r="Q92" s="1025" t="str">
        <f t="shared" ca="1" si="7"/>
        <v>B4E1C2A1C4D4A3B3B2D2E4D3D1E3A2C3C1E2B1A4</v>
      </c>
      <c r="R92" s="1028" t="str">
        <f t="shared" ca="1" si="7"/>
        <v>D4F2D2D3D1F3F4F1</v>
      </c>
      <c r="S92" s="1025" t="str">
        <f t="shared" ca="1" si="7"/>
        <v>B4E1C2A1C4D4F2A3B3B2D2E4D3D1F3E3A2C3C1E2B1F4F1A4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63"/>
      <c r="P5" s="1063"/>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De Deelnamecode en/of het Deelname Formulier dienen voor 10 juni ingeleverd te worden bij Jamilo (info@jamilo.nl).</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e">
        <f ca="1">IF(R10="geen",Taal03!B15,SUBSTITUTE(IF(H106=0,Taal03!B16,IF(C98= "NEE",Taal03!B17,Taal03!B18)),"###",FIXED(M106,2))&amp;" "&amp;IF(R71=RIGHT(S71,2),Taal03!B19,Taal03!B20))</f>
        <v>#VALUE!</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Het is niet toegestaan om als deelnemer meerdere deelname formulieren in te leveren.</v>
      </c>
      <c r="E12" s="1057"/>
      <c r="F12" s="1057"/>
      <c r="G12" s="1057"/>
      <c r="H12" s="1057"/>
      <c r="I12" s="1057"/>
      <c r="J12" s="1057"/>
      <c r="K12" s="1057"/>
      <c r="L12" s="1057"/>
      <c r="M12" s="1057"/>
      <c r="N12" s="60"/>
      <c r="O12" s="1063"/>
      <c r="P12" s="1063"/>
      <c r="R12" s="38" t="str">
        <f>IF(H89="JA","wel","niet")</f>
        <v>niet</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Na de start van de openingsceremonie is het niet meer mogelijk om uw voorspellingen aan te passen.</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Het is niet mogelijk om uitslagen te voorspellen waarin één land meer dan 9 doelpunten maakt. Wanneer een land toch meer dan 9 doelpunten maakt tijdens één wedstrijd zal bij de uitslag 9 doelpunten genoteerd worden.</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In de finalewedstrijden wordt de uitslag aangehouden die bereikt is na het verstrijken van de reguliere speeltijd inclusief de blessuretijd. Een gelijkspel in de finalewedstrijden is dus ook mogelijk.</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gevallen waar het reglement niet in voorziet, beslist de wedstrijdleiding.</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82"/>
      <c r="T23" s="1082"/>
      <c r="U23" s="1082"/>
    </row>
    <row r="24" spans="1:21" ht="14.1" customHeight="1" x14ac:dyDescent="0.25">
      <c r="B24" s="17"/>
      <c r="C24" s="949"/>
      <c r="D24" s="1057" t="str">
        <f ca="1">Taal03!B29</f>
        <v>Door het inleveren van het deelname formulier gaat u akkoord met dit wedstrijdreglement.</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63"/>
      <c r="P27" s="1063"/>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HET VOORSPELLEN VAN DE LANDEN IN DE FINALEWEDSTRIJDEN</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63" t="str">
        <f t="shared" ca="1" si="1"/>
        <v>Punten voor het goed voorspellen van de winnaar van het EK.</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63" t="str">
        <f t="shared" ca="1" si="1"/>
        <v>Punten voor elk goed voorspelde land in de finale (het land dient op de juiste positie te staan).</v>
      </c>
      <c r="F32" s="1063"/>
      <c r="G32" s="1063"/>
      <c r="H32" s="1063"/>
      <c r="I32" s="1063"/>
      <c r="J32" s="1063"/>
      <c r="K32" s="1063"/>
      <c r="L32" s="1063"/>
      <c r="M32" s="1063"/>
      <c r="N32" s="1066"/>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63" t="str">
        <f t="shared" ca="1" si="1"/>
        <v>Punten voor elk goed voorspelde land in de halve finales (het land dient op de juiste positie te staan).</v>
      </c>
      <c r="F33" s="1063"/>
      <c r="G33" s="1063"/>
      <c r="H33" s="1063"/>
      <c r="I33" s="1063"/>
      <c r="J33" s="1063"/>
      <c r="K33" s="1063"/>
      <c r="L33" s="1063"/>
      <c r="M33" s="1063"/>
      <c r="N33" s="1066"/>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63" t="str">
        <f t="shared" ca="1" si="1"/>
        <v>Punten voor elk goed voorspelde land in de kwartfinales (het land dient op de juiste positie te staan).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63" t="str">
        <f t="shared" ca="1" si="1"/>
        <v>Punten voor elk goed voorspelde land in de achtste finales (het land dient op de juiste positie te staan).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63" t="str">
        <f t="shared" ca="1" si="1"/>
        <v>Heeft men het land niet op de juiste positie voorspeld maar het heeft wel de betreffende finaleronde</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63" t="str">
        <f t="shared" ca="1" si="1"/>
        <v>behaald dan ontvangt men alsnog de helft van het aantal punten voor het juist voorspellen van het land.</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63" t="str">
        <f t="shared" ca="1" si="1"/>
        <v>Het is niet toegestaan om een land meerdere keren te voorspellen in één finaleronde.</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63" t="str">
        <f t="shared" ca="1" si="1"/>
        <v>Punten voor het goed voorspellen van een land in de finaleronden worden pas meegeteld op het moment dat</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de uitslag van de betreffende wedstrijd bekend is of als het voorspelde land zijn wedstrijd heeft gespeeld.</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63" t="str">
        <f t="shared" ca="1" si="1"/>
        <v>HET VOORSPELLEN VAN DE EINDSTAND IN DE GROEP</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63" t="str">
        <f t="shared" ca="1" si="1"/>
        <v>Punten voor elk goed voorspelde land bij de eindstand in de groep.</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63" t="str">
        <f t="shared" ca="1" si="1"/>
        <v>Elk land mag maar één keer ingevuld worden bij de voorspelling van de eindstand in de groep.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De punten voor elke juiste voorspelling worden pas opgeteld als de laatste wedstrijd van de groep is gespeeld.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63" t="str">
        <f t="shared" ca="1" si="1"/>
        <v>HET VOORSPELLEN VAN DE TOTO EN DE EINDSTAND</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63" t="str">
        <f t="shared" ca="1" si="1"/>
        <v>Punten voor het goed voorspellen van de TOTO (winst / verlies of gelijkspel).</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63" t="str">
        <f t="shared" ca="1" si="1"/>
        <v>Punt voor het goed voorspellen van het aantal gescoorde doelpunten per spelend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Bij de finalewedstrijden is het niet noodzakelijk om de landen juist voorspeld te hebben om aanspraak te maken</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op de punten voor het juist voorspellen van de TOTO en/of eindstand.</v>
      </c>
      <c r="F52" s="1063"/>
      <c r="G52" s="1063"/>
      <c r="H52" s="1063"/>
      <c r="I52" s="1063"/>
      <c r="J52" s="1063"/>
      <c r="K52" s="1063"/>
      <c r="L52" s="1063"/>
      <c r="M52" s="1063"/>
      <c r="N52" s="1066"/>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
      </c>
      <c r="F54" s="1063"/>
      <c r="G54" s="1063"/>
      <c r="H54" s="1063"/>
      <c r="I54" s="1063"/>
      <c r="J54" s="1063"/>
      <c r="K54" s="1063"/>
      <c r="L54" s="1063"/>
      <c r="M54" s="1063"/>
      <c r="N54" s="1066"/>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63" t="str">
        <f t="shared" ca="1" si="1"/>
        <v/>
      </c>
      <c r="F55" s="1063"/>
      <c r="G55" s="1063"/>
      <c r="H55" s="1063"/>
      <c r="I55" s="1063"/>
      <c r="J55" s="1063"/>
      <c r="K55" s="1063"/>
      <c r="L55" s="1063"/>
      <c r="M55" s="1063"/>
      <c r="N55" s="1066"/>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63" t="str">
        <f t="shared" ca="1" si="1"/>
        <v/>
      </c>
      <c r="F56" s="1063"/>
      <c r="G56" s="1063"/>
      <c r="H56" s="1063"/>
      <c r="I56" s="1063"/>
      <c r="J56" s="1063"/>
      <c r="K56" s="1063"/>
      <c r="L56" s="1063"/>
      <c r="M56" s="1063"/>
      <c r="N56" s="1066"/>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|dh|E150614|10#624|Jamilo*#EK-pool|Jamilo|info@jamilo.nl||DD|P|##|##|500|5000|3000|2000|||||30|22|#0|16|10|#4|#5|#3|#1|##|X##|X##|X##|BANA|</v>
      </c>
      <c r="G82" s="1089"/>
      <c r="H82" s="1089"/>
      <c r="I82" s="1089"/>
      <c r="J82" s="1089"/>
      <c r="K82" s="1089"/>
      <c r="L82" s="1089"/>
      <c r="M82" s="1089"/>
      <c r="N82" s="1090">
        <f>IF(Q81=1,LEN(F82),"")</f>
        <v>139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|dh|E150614|10#624|Jamilo*#EK-pool|Jamilo|info@jamilo.nl|</v>
      </c>
      <c r="G83" s="1091"/>
      <c r="H83" s="1091"/>
      <c r="I83" s="1091"/>
      <c r="J83" s="1091"/>
      <c r="K83" s="1091"/>
      <c r="L83" s="1091"/>
      <c r="M83" s="1091"/>
      <c r="N83" s="1090">
        <f>IF(Q81=1,RIGHT(LEFT(F82,7),2)+RIGHT(LEFT(F82,9),2)+RIGHT(LEFT(F82,11),2)+22,"")</f>
        <v>57</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|DD|P|##|##|500|5000|3000|2000||||</v>
      </c>
      <c r="G84" s="1091"/>
      <c r="H84" s="1091"/>
      <c r="I84" s="1091"/>
      <c r="J84" s="1091"/>
      <c r="K84" s="1091"/>
      <c r="L84" s="1091"/>
      <c r="M84" s="1091"/>
      <c r="N84" s="1090">
        <f>IF(Q81=1,IF(N81&lt;1,0,N82-N83-N85),"")</f>
        <v>34</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|30|22|#0|16|10|#4|#5|#3|#1|##|X##|X##|X##|BANA|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E</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NEE</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60">
        <f>G93+N93+1</f>
        <v>35</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70">
        <f>G94+N94+1</f>
        <v>42</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95"/>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|dh|E150614|10#624|Jamilo*#EK-pool|Jamilo|info@jamilo.nl||DD|P|##|##|500|5000|3000|2000|||||30|22|#0|16|10|#4|#5|#3|#1|##|X##|X##|X##|BANA|</v>
      </c>
      <c r="G92" s="1089"/>
      <c r="H92" s="1089"/>
      <c r="I92" s="1089"/>
      <c r="J92" s="1089"/>
      <c r="K92" s="1089"/>
      <c r="L92" s="1089"/>
      <c r="M92" s="1089"/>
      <c r="N92" s="1090">
        <f>Reglement!N82</f>
        <v>139</v>
      </c>
      <c r="O92" s="1061"/>
      <c r="P92" s="86">
        <f>Reglement!Q82</f>
        <v>1</v>
      </c>
      <c r="Q92" s="128" t="s">
        <v>144</v>
      </c>
      <c r="R92" s="129"/>
    </row>
    <row r="93" spans="1:18" hidden="1" x14ac:dyDescent="0.25">
      <c r="B93" s="74"/>
      <c r="C93" s="1086" t="s">
        <v>103</v>
      </c>
      <c r="D93" s="1086"/>
      <c r="E93" s="1087"/>
      <c r="F93" s="1088" t="str">
        <f>Reglement!F84</f>
        <v>|DD|P|##|##|500|5000|3000|2000||||</v>
      </c>
      <c r="G93" s="1089"/>
      <c r="H93" s="1089"/>
      <c r="I93" s="1089"/>
      <c r="J93" s="1089"/>
      <c r="K93" s="1089"/>
      <c r="L93" s="1089"/>
      <c r="M93" s="1089"/>
      <c r="N93" s="1090">
        <f>Reglement!N84</f>
        <v>34</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Johan#*Hendriks#*(Jamilo)</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25</v>
      </c>
      <c r="AB5" s="3"/>
      <c r="AC5" s="117" t="str">
        <f>AA7</f>
        <v>GOED</v>
      </c>
      <c r="AD5" s="117" t="str">
        <f>IF(AC5="GOED",AA6,"FOUT")</f>
        <v>|Johan#*Hendriks#*(Jamilo)25</v>
      </c>
      <c r="AE5" s="117">
        <f>LEN(AD5)</f>
        <v>28</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Naam :</v>
      </c>
      <c r="E6" s="1141"/>
      <c r="F6" s="1142" t="s">
        <v>2501</v>
      </c>
      <c r="G6" s="1142"/>
      <c r="H6" s="1142"/>
      <c r="I6" s="1142"/>
      <c r="J6" s="1142"/>
      <c r="K6" s="1142"/>
      <c r="L6" s="1142"/>
      <c r="M6" s="926"/>
      <c r="N6" s="1141" t="str">
        <f ca="1">Taal04!B15&amp;" :"</f>
        <v>E-mail :</v>
      </c>
      <c r="O6" s="1141"/>
      <c r="P6" s="1143" t="s">
        <v>2500</v>
      </c>
      <c r="Q6" s="1144"/>
      <c r="R6" s="1144"/>
      <c r="S6" s="1144"/>
      <c r="T6" s="1144"/>
      <c r="U6" s="1144"/>
      <c r="V6" s="1144"/>
      <c r="W6" s="60"/>
      <c r="X6" s="17"/>
      <c r="Y6" s="117"/>
      <c r="Z6" s="97" t="s">
        <v>187</v>
      </c>
      <c r="AA6" s="1128" t="str">
        <f>"|"&amp;AA4&amp;AA5</f>
        <v>|Johan#*Hendriks#*(Jamilo)25</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Duitsland</v>
      </c>
      <c r="AM8" s="1113" t="str">
        <f ca="1">AJ13</f>
        <v>Schotland</v>
      </c>
      <c r="AN8" s="1113" t="str">
        <f ca="1">AJ14</f>
        <v>Hongarije</v>
      </c>
      <c r="AO8" s="1113" t="str">
        <f ca="1">AJ15</f>
        <v>Zwitserland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Groep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Het is niet mogelijk om uitslagen te voorspellen waarin één land meer dan 9 doelpunten maakt. Wanneer een land toch meer dan 9 doelpunten maakt tijdens één wedstrijd zal bij de uitslag 9 doelpunten genoteerd worden.</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|20|12|11|20|12|01|12|21|20|02|21|20|20|20|01|12|21|11|11|21|12|01|12|20|12|21|03|12|30|21|20|12|11|02|12|12|</v>
      </c>
      <c r="Z11" s="1133"/>
      <c r="AA11" s="1133"/>
      <c r="AB11" s="1133"/>
      <c r="AC11" s="1133"/>
      <c r="AD11" s="1134"/>
      <c r="AE11" s="41"/>
      <c r="AF11" s="831" t="s">
        <v>261</v>
      </c>
      <c r="AG11" s="106" t="str">
        <f>IF(TYPE(VLOOKUP(AF11,$D$25:$D$60,1,FALSE)*1)=1,VLOOKUP(AF11,$D$25:$AA$60,24,FALSE),IF(TYPE(VLOOKUP(AF11,$N$25:$N$60,1,FALSE)*1)=1,VLOOKUP(AF11,$N$25:$AD$60,17,FALSE),"ERROR"))</f>
        <v>20|</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12|</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2</v>
      </c>
      <c r="AO12" s="206">
        <f>IF(ISNUMBER(L29),L29,0)</f>
        <v>2</v>
      </c>
      <c r="AP12" s="155">
        <f>IF(AA25&lt;&gt;"FOUT",IF(AM12&gt;AL13,3,IF(AM12=AL13,1,0)),0)+IF(AA27&lt;&gt;"FOUT",IF(AN12&gt;AL14,3,IF(AN12=AL14,1,0)),0)+IF(AA29&lt;&gt;"FOUT",IF(AO12&gt;AL15,3,IF(AO12=AL15,1,0)),0)</f>
        <v>9</v>
      </c>
      <c r="AQ12" s="158">
        <f>SUM(AL12:AO12)</f>
        <v>6</v>
      </c>
      <c r="AR12" s="157">
        <f>SUM(AL12:AL15)</f>
        <v>1</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95050603500001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11|</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2</v>
      </c>
      <c r="AO13" s="163">
        <f>IF(ISNUMBER(J28),J28,0)</f>
        <v>0</v>
      </c>
      <c r="AP13" s="151">
        <f>IF(AA25&lt;&gt;"FOUT",IF(AL13&gt;AM12,3,IF(AL13=AM12,1,0)),0)+IF(AA30&lt;&gt;"FOUT",IF(AN13&gt;AM14,3,IF(AN13=AM14,1,0)),0)+IF(AA28&lt;&gt;"FOUT",IF(AO13&gt;AM15,3,IF(AO13=AM15,1,0)),0)</f>
        <v>3</v>
      </c>
      <c r="AQ13" s="153">
        <f>SUM(AL13:AO13)</f>
        <v>2</v>
      </c>
      <c r="AR13" s="152">
        <f>SUM(AM12:AM15)</f>
        <v>4</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34980203500003</v>
      </c>
      <c r="BA13" s="221">
        <f ca="1">RANK(AZ13,AZ12:AZ15)</f>
        <v>3</v>
      </c>
      <c r="BB13" s="403"/>
    </row>
    <row r="14" spans="1:59" ht="15" customHeight="1" x14ac:dyDescent="0.25">
      <c r="B14" s="17"/>
      <c r="C14" s="383"/>
      <c r="D14" s="1122" t="str">
        <f ca="1">Taal04!B44</f>
        <v>De achtergrondkleur van de in te vullen velden geeft de status van het veld aan. Deze status correspondeert met de tabel hier rechts.</v>
      </c>
      <c r="E14" s="1122"/>
      <c r="F14" s="1122"/>
      <c r="G14" s="1122"/>
      <c r="H14" s="1122"/>
      <c r="I14" s="1122"/>
      <c r="J14" s="1122"/>
      <c r="K14" s="1122"/>
      <c r="L14" s="1122"/>
      <c r="M14" s="1122"/>
      <c r="N14" s="1122"/>
      <c r="O14" s="1122"/>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20|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1</v>
      </c>
      <c r="AN14" s="202">
        <v>0</v>
      </c>
      <c r="AO14" s="163">
        <f>IF(ISNUMBER(J26),J26,0)</f>
        <v>1</v>
      </c>
      <c r="AP14" s="151">
        <f>IF(AA27&lt;&gt;"FOUT",IF(AL14&gt;AN12,3,IF(AL14=AN12,1,0)),0)+IF(AA30&lt;&gt;"FOUT",IF(AM14&gt;AN13,3,IF(AM14=AN13,1,0)),0)+IF(AA26&lt;&gt;"FOUT",IF(AO14&gt;AN15,3,IF(AO14=AN15,1,0)),0)</f>
        <v>0</v>
      </c>
      <c r="AQ14" s="153">
        <f>SUM(AL14:AO14)</f>
        <v>2</v>
      </c>
      <c r="AR14" s="152">
        <f>SUM(AN12:AN15)</f>
        <v>6</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4960203500002</v>
      </c>
      <c r="BA14" s="221">
        <f ca="1">RANK(AZ14,AZ12:AZ15)</f>
        <v>4</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Niet ingevuld</v>
      </c>
      <c r="T15" s="1123"/>
      <c r="U15" s="1123"/>
      <c r="V15" s="1123"/>
      <c r="W15" s="367"/>
      <c r="X15" s="17"/>
      <c r="Y15" s="252"/>
      <c r="Z15" s="252"/>
      <c r="AA15" s="252"/>
      <c r="AB15" s="256"/>
      <c r="AC15" s="256"/>
      <c r="AD15" s="256"/>
      <c r="AE15" s="41"/>
      <c r="AF15" s="831" t="s">
        <v>266</v>
      </c>
      <c r="AG15" s="106" t="str">
        <f t="shared" ca="1" si="0"/>
        <v>12|</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1</v>
      </c>
      <c r="AN15" s="209">
        <f>IF(ISNUMBER(L26),L26,0)</f>
        <v>2</v>
      </c>
      <c r="AO15" s="210">
        <v>0</v>
      </c>
      <c r="AP15" s="145">
        <f>IF(AA29&lt;&gt;"FOUT",IF(AL15&gt;AO12,3,IF(AL15=AO12,1,0)),0)+IF(AA28&lt;&gt;"FOUT",IF(AM15&gt;AO13,3,IF(AM15=AO13,1,0)),0)+IF(AA26&lt;&gt;"FOUT",IF(AN15&gt;AO14,3,IF(AN15=AO14,1,0)),0)</f>
        <v>6</v>
      </c>
      <c r="AQ15" s="148">
        <f>SUM(AL15:AO15)</f>
        <v>4</v>
      </c>
      <c r="AR15" s="147">
        <f>SUM(AO12:AO15)</f>
        <v>3</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65010403500004</v>
      </c>
      <c r="BA15" s="222">
        <f ca="1">RANK(AZ15,AZ12:AZ15)</f>
        <v>2</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Fout ingevuld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01|</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12|</v>
      </c>
      <c r="AH17" s="1113"/>
      <c r="AI17" s="1113"/>
      <c r="AJ17" s="70"/>
      <c r="AK17" s="1113" t="s">
        <v>175</v>
      </c>
      <c r="AL17" s="1113" t="str">
        <f ca="1">AJ21</f>
        <v>Spanje</v>
      </c>
      <c r="AM17" s="1113" t="str">
        <f ca="1">AJ22</f>
        <v>Kroatië</v>
      </c>
      <c r="AN17" s="1113" t="str">
        <f ca="1">AJ23</f>
        <v>Italië</v>
      </c>
      <c r="AO17" s="1113" t="str">
        <f ca="1">AJ24</f>
        <v>Albanië</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21|</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10</v>
      </c>
      <c r="AA19" s="285">
        <f>IF(LEN(AA35)=3,IF(J35=L35,0,1),0)+IF(LEN(AA36)=3,IF(J36=L36,0,1),0)+IF(LEN(AA38)=3,IF(J38=L38,0,1),0)+IF(LEN(AA37)=3,IF(J37=L37,0,1),0)+IF(LEN(AA39)=3,IF(J39=L39,0,1),0)+IF(LEN(AA40)=3,IF(J40=L40,0,1),0)+IF(LEN(AD35)=3,IF(T35=V35,0,1),0)+IF(LEN(AD36)=3,IF(T36=V36,0,1),0)+IF(LEN(AD37)=3,IF(T37=V37,0,1),0)+IF(LEN(AD38)=3,IF(T38=V38,0,1),0)+IF(LEN(AD39)=3,IF(T39=V39,0,1),0)+IF(LEN(AD40)=3,IF(T40=V40,0,1),0)</f>
        <v>12</v>
      </c>
      <c r="AB19" s="285">
        <f>IF(LEN(AA45)=3,IF(J45=L45,0,1),0)+IF(LEN(AA46)=3,IF(J46=L46,0,1),0)+IF(LEN(AA47)=3,IF(J47=L47,0,1),0)+IF(LEN(AA48)=3,IF(J48=L48,0,1),0)+IF(LEN(AA49)=3,IF(J49=L49,0,1),0)+IF(LEN(AA50)=3,IF(J50=L50,0,1),0)+IF(LEN(AD45)=3,IF(T45=V45,0,1),0)+IF(LEN(AD46)=3,IF(T46=V46,0,1),0)+IF(LEN(AD48)=3,IF(T48=V48,0,1),0)+IF(LEN(AD47)=3,IF(T47=V47,0,1),0)+IF(LEN(AD49)=3,IF(T49=V49,0,1),0)+IF(LEN(AD50)=3,IF(T50=V50,0,1),0)</f>
        <v>10</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32</v>
      </c>
      <c r="AE19" s="284" t="s">
        <v>1905</v>
      </c>
      <c r="AF19" s="831" t="s">
        <v>2398</v>
      </c>
      <c r="AG19" s="106" t="str">
        <f t="shared" ca="1" si="0"/>
        <v>20|</v>
      </c>
      <c r="AH19" s="1113"/>
      <c r="AI19" s="1113"/>
      <c r="AJ19" s="161" t="str">
        <f ca="1">N23</f>
        <v>Groep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2</v>
      </c>
      <c r="AA20" s="285">
        <f>IF(LEN(AA35)=3,IF(J35=L35,1,0),0)+IF(LEN(AA36)=3,IF(J36=L36,1,0),0)+IF(LEN(AA38)=3,IF(J38=L38,1,0),0)+IF(LEN(AA37)=3,IF(J37=L37,1,0),0)+IF(LEN(AA39)=3,IF(J39=L39,1,0),0)+IF(LEN(AA40)=3,IF(J40=L40,1,0),0)+IF(LEN(AD35)=3,IF(T35=V35,1,0),0)+IF(LEN(AD36)=3,IF(T36=V36,1,0),0)+IF(LEN(AD37)=3,IF(T37=V37,1,0),0)+IF(LEN(AD38)=3,IF(T38=V38,1,0),0)+IF(LEN(AD39)=3,IF(T39=V39,1,0),0)+IF(LEN(AD40)=3,IF(T40=V40,1,0),0)</f>
        <v>0</v>
      </c>
      <c r="AB20" s="285">
        <f>IF(LEN(AA45)=3,IF(J45=L45,1,0),0)+IF(LEN(AA46)=3,IF(J46=L46,1,0),0)+IF(LEN(AA47)=3,IF(J47=L47,1,0),0)+IF(LEN(AA48)=3,IF(J48=L48,1,0),0)+IF(LEN(AA49)=3,IF(J49=L49,1,0),0)+IF(LEN(AA50)=3,IF(J50=L50,1,0),0)+IF(LEN(AD45)=3,IF(T45=V45,1,0),0)+IF(LEN(AD46)=3,IF(T46=V46,1,0),0)+IF(LEN(AD48)=3,IF(T48=V48,1,0),0)+IF(LEN(AD47)=3,IF(T47=V47,1,0),0)+IF(LEN(AD49)=3,IF(T49=V49,1,0),0)+IF(LEN(AD50)=3,IF(T50=V50,1,0),0)</f>
        <v>2</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4</v>
      </c>
      <c r="AE20" s="284" t="s">
        <v>1906</v>
      </c>
      <c r="AF20" s="831" t="s">
        <v>268</v>
      </c>
      <c r="AG20" s="106" t="str">
        <f t="shared" ca="1" si="0"/>
        <v>02|</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21|</v>
      </c>
      <c r="AH21" s="171" t="str">
        <f ca="1">RIGHT(AJ19,1)&amp;1</f>
        <v>B1</v>
      </c>
      <c r="AI21" s="168">
        <f ca="1">$AU$84</f>
        <v>4</v>
      </c>
      <c r="AJ21" s="160" t="str">
        <f ca="1">VLOOKUP(AH21,Voorblad!$X$67:$Z$98,2,FALSE)</f>
        <v>Spanje</v>
      </c>
      <c r="AK21" s="159" t="str">
        <f ca="1">VLOOKUP(AH21,Voorblad!$X$67:$Z$98,3,FALSE)</f>
        <v>ES</v>
      </c>
      <c r="AL21" s="203">
        <v>0</v>
      </c>
      <c r="AM21" s="206">
        <f>IF(ISNUMBER(T25),T25,0)</f>
        <v>1</v>
      </c>
      <c r="AN21" s="206">
        <f>IF(ISNUMBER(T28),T28,0)</f>
        <v>1</v>
      </c>
      <c r="AO21" s="206">
        <f>IF(ISNUMBER(V29),V29,0)</f>
        <v>3</v>
      </c>
      <c r="AP21" s="155">
        <f>IF(AD25&lt;&gt;"FOUT",IF(AM21&gt;AL22,3,IF(AM21=AL22,1,0)),0)+IF(AD28&lt;&gt;"FOUT",IF(AN21&gt;AL23,3,IF(AN21=AL23,1,0)),0)+IF(AD29&lt;&gt;"FOUT",IF(AO21&gt;AL24,3,IF(AO21=AL24,1,0)),0)</f>
        <v>5</v>
      </c>
      <c r="AQ21" s="158">
        <f>SUM(AL21:AO21)</f>
        <v>5</v>
      </c>
      <c r="AR21" s="157">
        <f>SUM(AL21:AL24)</f>
        <v>2</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55030503500004</v>
      </c>
      <c r="BA21" s="214">
        <f ca="1">RANK(AZ21,AZ21:AZ24)</f>
        <v>2</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3</v>
      </c>
      <c r="AF22" s="251">
        <v>12</v>
      </c>
      <c r="AG22" s="106" t="str">
        <f t="shared" ca="1" si="0"/>
        <v>20|</v>
      </c>
      <c r="AH22" s="171" t="str">
        <f ca="1">RIGHT(AJ19,1)&amp;2</f>
        <v>B2</v>
      </c>
      <c r="AI22" s="168">
        <f ca="1">$AV$84</f>
        <v>3</v>
      </c>
      <c r="AJ22" s="154" t="str">
        <f ca="1">VLOOKUP(AH22,Voorblad!$X$67:$Z$98,2,FALSE)</f>
        <v>Kroatië</v>
      </c>
      <c r="AK22" s="110" t="str">
        <f ca="1">VLOOKUP(AH22,Voorblad!$X$67:$Z$98,3,FALSE)</f>
        <v>HR</v>
      </c>
      <c r="AL22" s="207">
        <f>IF(ISNUMBER(V25),V25,0)</f>
        <v>1</v>
      </c>
      <c r="AM22" s="202">
        <v>0</v>
      </c>
      <c r="AN22" s="163">
        <f>IF(ISNUMBER(T30),T30,0)</f>
        <v>1</v>
      </c>
      <c r="AO22" s="163">
        <f>IF(ISNUMBER(T27),T27,0)</f>
        <v>2</v>
      </c>
      <c r="AP22" s="151">
        <f>IF(AD25&lt;&gt;"FOUT",IF(AL22&gt;AM21,3,IF(AL22=AM21,1,0)),0)+IF(AD30&lt;&gt;"FOUT",IF(AN22&gt;AM23,3,IF(AN22=AM23,1,0)),0)+IF(AD27&lt;&gt;"FOUT",IF(AO22&gt;AM24,3,IF(AO22=AM24,1,0)),0)</f>
        <v>4</v>
      </c>
      <c r="AQ22" s="153">
        <f>SUM(AL22:AO22)</f>
        <v>4</v>
      </c>
      <c r="AR22" s="152">
        <f>SUM(AM21:AM24)</f>
        <v>3</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45010403500003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20" t="str">
        <f ca="1">"Controle "&amp;D23</f>
        <v>Controle Groep A</v>
      </c>
      <c r="Z23" s="1120"/>
      <c r="AA23" s="1120"/>
      <c r="AB23" s="1120" t="str">
        <f ca="1">"Controle "&amp;N23</f>
        <v>Controle Groep B</v>
      </c>
      <c r="AC23" s="1120"/>
      <c r="AD23" s="1120"/>
      <c r="AE23" s="849"/>
      <c r="AF23" s="251">
        <v>15</v>
      </c>
      <c r="AG23" s="106" t="str">
        <f ca="1">IF(TYPE(VLOOKUP(AF23,$D$25:$D$60,1,FALSE)*1)=1,VLOOKUP(AF23,$D$25:$AA$60,24,FALSE),IF(TYPE(VLOOKUP(AF23,$N$25:$N$60,1,FALSE)*1)=1,VLOOKUP(AF23,$N$25:$AD$60,17,FALSE),"ERROR"))</f>
        <v>20|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2</v>
      </c>
      <c r="AN23" s="202">
        <v>0</v>
      </c>
      <c r="AO23" s="163">
        <f>IF(ISNUMBER(T26),T26,0)</f>
        <v>2</v>
      </c>
      <c r="AP23" s="151">
        <f>IF(AD28&lt;&gt;"FOUT",IF(AL23&gt;AN21,3,IF(AL23=AN21,1,0)),0)+IF(AD30&lt;&gt;"FOUT",IF(AM23&gt;AN22,3,IF(AM23=AN22,1,0)),0)+IF(AD26&lt;&gt;"FOUT",IF(AO23&gt;AN24,3,IF(AO23=AN24,1,0)),0)</f>
        <v>7</v>
      </c>
      <c r="AQ23" s="153">
        <f>SUM(AL23:AO23)</f>
        <v>5</v>
      </c>
      <c r="AR23" s="152">
        <f>SUM(AN21:AN24)</f>
        <v>2</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75030503500002</v>
      </c>
      <c r="BA23" s="215">
        <f ca="1">RANK(AZ23,AZ21:AZ24)</f>
        <v>1</v>
      </c>
    </row>
    <row r="24" spans="1:53" s="166" customFormat="1" ht="15" customHeight="1" x14ac:dyDescent="0.25">
      <c r="B24" s="17"/>
      <c r="C24" s="949"/>
      <c r="D24" s="107"/>
      <c r="E24" s="939" t="str">
        <f ca="1">Taal04!$B$20</f>
        <v>Datum</v>
      </c>
      <c r="F24" s="939" t="str">
        <f ca="1">Taal04!$B$21</f>
        <v>Tijd</v>
      </c>
      <c r="G24" s="1116" t="str">
        <f ca="1">Taal04!$B$22</f>
        <v>Wedstrijd</v>
      </c>
      <c r="H24" s="1116"/>
      <c r="I24" s="1116"/>
      <c r="J24" s="1116" t="str">
        <f ca="1">Taal04!$B$24</f>
        <v>Eindstand</v>
      </c>
      <c r="K24" s="1117"/>
      <c r="L24" s="1117"/>
      <c r="M24" s="17"/>
      <c r="N24" s="107"/>
      <c r="O24" s="939" t="str">
        <f ca="1">Taal04!$B$20</f>
        <v>Datum</v>
      </c>
      <c r="P24" s="939" t="str">
        <f ca="1">Taal04!$B$21</f>
        <v>Tijd</v>
      </c>
      <c r="Q24" s="1116" t="str">
        <f ca="1">Taal04!$B$22</f>
        <v>Wedstrijd</v>
      </c>
      <c r="R24" s="1116"/>
      <c r="S24" s="1116"/>
      <c r="T24" s="1116" t="str">
        <f ca="1">Taal04!$B$24</f>
        <v>Eindstand</v>
      </c>
      <c r="U24" s="1117"/>
      <c r="V24" s="1117"/>
      <c r="W24" s="60"/>
      <c r="X24" s="17"/>
      <c r="Y24" s="4" t="s">
        <v>24</v>
      </c>
      <c r="Z24" s="4" t="s">
        <v>25</v>
      </c>
      <c r="AA24" s="138" t="s">
        <v>0</v>
      </c>
      <c r="AB24" s="4" t="s">
        <v>24</v>
      </c>
      <c r="AC24" s="4" t="s">
        <v>25</v>
      </c>
      <c r="AD24" s="138" t="s">
        <v>0</v>
      </c>
      <c r="AE24" s="849"/>
      <c r="AF24" s="251">
        <v>14</v>
      </c>
      <c r="AG24" s="106" t="str">
        <f t="shared" si="0"/>
        <v>20|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7</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4930003500001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2</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1</v>
      </c>
      <c r="U25" s="54" t="s">
        <v>12</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11|</v>
      </c>
      <c r="AE25" s="285">
        <f t="shared" ref="AE25:AE30" si="9">IF(AND(Y25="GOED",Z25="GOED",AB25="GOED",AB25="GOED"),IF(J25+L25&gt;T25+V25,J25+L25,T25+V25),IF(AND(Y25="GOED",Z25="GOED"),J25+L25,IF(AND(AB25="GOED",AB25="GOED"),T25+V25,0)))</f>
        <v>2</v>
      </c>
      <c r="AF25" s="251">
        <v>13</v>
      </c>
      <c r="AG25" s="106" t="str">
        <f t="shared" si="0"/>
        <v>01|</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2</v>
      </c>
      <c r="M26" s="9"/>
      <c r="N26" s="6" t="str">
        <f>"04"</f>
        <v>04</v>
      </c>
      <c r="O26" s="11">
        <f>DATE(2024,6,15)+TIME(21,0,0)</f>
        <v>45458.875</v>
      </c>
      <c r="P26" s="134">
        <f t="shared" si="2"/>
        <v>45458.875</v>
      </c>
      <c r="Q26" s="8" t="str">
        <f ca="1">AJ23</f>
        <v>Italië</v>
      </c>
      <c r="R26" s="7" t="s">
        <v>12</v>
      </c>
      <c r="S26" s="327" t="str">
        <f ca="1">AJ24</f>
        <v>Albanië</v>
      </c>
      <c r="T26" s="353">
        <v>2</v>
      </c>
      <c r="U26" s="54" t="s">
        <v>12</v>
      </c>
      <c r="V26" s="353">
        <v>0</v>
      </c>
      <c r="W26" s="60"/>
      <c r="X26" s="17"/>
      <c r="Y26" s="4" t="str">
        <f t="shared" si="3"/>
        <v>GOED</v>
      </c>
      <c r="Z26" s="4" t="str">
        <f t="shared" si="4"/>
        <v>GOED</v>
      </c>
      <c r="AA26" s="138" t="str">
        <f t="shared" si="5"/>
        <v>12|</v>
      </c>
      <c r="AB26" s="4" t="str">
        <f t="shared" si="6"/>
        <v>GOED</v>
      </c>
      <c r="AC26" s="4" t="str">
        <f t="shared" si="7"/>
        <v>GOED</v>
      </c>
      <c r="AD26" s="138" t="str">
        <f t="shared" si="8"/>
        <v>20|</v>
      </c>
      <c r="AE26" s="285">
        <f t="shared" si="9"/>
        <v>3</v>
      </c>
      <c r="AF26" s="251">
        <v>18</v>
      </c>
      <c r="AG26" s="106" t="str">
        <f t="shared" ca="1" si="0"/>
        <v>12|</v>
      </c>
      <c r="AH26" s="1113"/>
      <c r="AI26" s="1113"/>
      <c r="AJ26" s="70"/>
      <c r="AK26" s="1113" t="s">
        <v>175</v>
      </c>
      <c r="AL26" s="1113" t="str">
        <f ca="1">AJ30</f>
        <v>Slovenië</v>
      </c>
      <c r="AM26" s="1113" t="str">
        <f ca="1">AJ31</f>
        <v>Denemarken</v>
      </c>
      <c r="AN26" s="1113" t="str">
        <f ca="1">AJ32</f>
        <v>Servië</v>
      </c>
      <c r="AO26" s="1113" t="str">
        <f ca="1">AJ33</f>
        <v>Engeland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2</v>
      </c>
      <c r="K27" s="54" t="s">
        <v>12</v>
      </c>
      <c r="L27" s="353">
        <v>0</v>
      </c>
      <c r="M27" s="9"/>
      <c r="N27" s="6">
        <v>15</v>
      </c>
      <c r="O27" s="11">
        <f>DATE(2024,6,19)+TIME(15,0,0)</f>
        <v>45462.625</v>
      </c>
      <c r="P27" s="134">
        <f t="shared" si="2"/>
        <v>45462.625</v>
      </c>
      <c r="Q27" s="440" t="str">
        <f ca="1">AJ22</f>
        <v>Kroatië</v>
      </c>
      <c r="R27" s="441" t="s">
        <v>12</v>
      </c>
      <c r="S27" s="442" t="str">
        <f ca="1">AJ24</f>
        <v>Albanië</v>
      </c>
      <c r="T27" s="353">
        <v>2</v>
      </c>
      <c r="U27" s="54" t="s">
        <v>12</v>
      </c>
      <c r="V27" s="353">
        <v>0</v>
      </c>
      <c r="W27" s="60"/>
      <c r="X27" s="17"/>
      <c r="Y27" s="4" t="str">
        <f t="shared" si="3"/>
        <v>GOED</v>
      </c>
      <c r="Z27" s="4" t="str">
        <f t="shared" si="4"/>
        <v>GOED</v>
      </c>
      <c r="AA27" s="138" t="str">
        <f t="shared" si="5"/>
        <v>20|</v>
      </c>
      <c r="AB27" s="4" t="str">
        <f t="shared" si="6"/>
        <v>GOED</v>
      </c>
      <c r="AC27" s="4" t="str">
        <f t="shared" si="7"/>
        <v>GOED</v>
      </c>
      <c r="AD27" s="138" t="str">
        <f t="shared" si="8"/>
        <v>20|</v>
      </c>
      <c r="AE27" s="285">
        <f t="shared" si="9"/>
        <v>2</v>
      </c>
      <c r="AF27" s="251">
        <v>17</v>
      </c>
      <c r="AG27" s="106" t="str">
        <f t="shared" ca="1" si="0"/>
        <v>21|</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0</v>
      </c>
      <c r="K28" s="54" t="s">
        <v>12</v>
      </c>
      <c r="L28" s="353">
        <v>1</v>
      </c>
      <c r="M28" s="9"/>
      <c r="N28" s="6">
        <v>16</v>
      </c>
      <c r="O28" s="11">
        <f>DATE(2024,6,20)+TIME(21,0,0)</f>
        <v>45463.875</v>
      </c>
      <c r="P28" s="134">
        <f t="shared" si="2"/>
        <v>45463.875</v>
      </c>
      <c r="Q28" s="8" t="str">
        <f ca="1">AJ21</f>
        <v>Spanje</v>
      </c>
      <c r="R28" s="7" t="s">
        <v>12</v>
      </c>
      <c r="S28" s="327" t="str">
        <f ca="1">AJ23</f>
        <v>Italië</v>
      </c>
      <c r="T28" s="353">
        <v>1</v>
      </c>
      <c r="U28" s="54" t="s">
        <v>12</v>
      </c>
      <c r="V28" s="353">
        <v>1</v>
      </c>
      <c r="W28" s="60"/>
      <c r="X28" s="17"/>
      <c r="Y28" s="4" t="str">
        <f t="shared" si="3"/>
        <v>GOED</v>
      </c>
      <c r="Z28" s="4" t="str">
        <f t="shared" si="4"/>
        <v>GOED</v>
      </c>
      <c r="AA28" s="138" t="str">
        <f t="shared" si="5"/>
        <v>01|</v>
      </c>
      <c r="AB28" s="4" t="str">
        <f t="shared" si="6"/>
        <v>GOED</v>
      </c>
      <c r="AC28" s="4" t="str">
        <f t="shared" si="7"/>
        <v>GOED</v>
      </c>
      <c r="AD28" s="138" t="str">
        <f t="shared" si="8"/>
        <v>11|</v>
      </c>
      <c r="AE28" s="285">
        <f t="shared" si="9"/>
        <v>2</v>
      </c>
      <c r="AF28" s="251">
        <v>16</v>
      </c>
      <c r="AG28" s="106" t="str">
        <f t="shared" ca="1" si="0"/>
        <v>11|</v>
      </c>
      <c r="AH28" s="1113"/>
      <c r="AI28" s="1113"/>
      <c r="AJ28" s="161" t="str">
        <f ca="1">D33</f>
        <v>Groep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3</v>
      </c>
      <c r="W29" s="60"/>
      <c r="X29" s="17"/>
      <c r="Y29" s="4" t="str">
        <f t="shared" si="3"/>
        <v>GOED</v>
      </c>
      <c r="Z29" s="4" t="str">
        <f t="shared" si="4"/>
        <v>GOED</v>
      </c>
      <c r="AA29" s="138" t="str">
        <f t="shared" si="5"/>
        <v>12|</v>
      </c>
      <c r="AB29" s="4" t="str">
        <f t="shared" si="6"/>
        <v>GOED</v>
      </c>
      <c r="AC29" s="4" t="str">
        <f t="shared" si="7"/>
        <v>GOED</v>
      </c>
      <c r="AD29" s="138" t="str">
        <f t="shared" si="8"/>
        <v>03|</v>
      </c>
      <c r="AE29" s="285">
        <f t="shared" si="9"/>
        <v>3</v>
      </c>
      <c r="AF29" s="106">
        <v>21</v>
      </c>
      <c r="AG29" s="106" t="str">
        <f t="shared" ca="1" si="0"/>
        <v>11|</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2</v>
      </c>
      <c r="K30" s="54" t="s">
        <v>12</v>
      </c>
      <c r="L30" s="353">
        <v>1</v>
      </c>
      <c r="M30" s="9"/>
      <c r="N30" s="6">
        <v>28</v>
      </c>
      <c r="O30" s="11">
        <f>O29</f>
        <v>45467.875</v>
      </c>
      <c r="P30" s="134">
        <f t="shared" si="2"/>
        <v>45467.875</v>
      </c>
      <c r="Q30" s="8" t="str">
        <f ca="1">AJ22</f>
        <v>Kroatië</v>
      </c>
      <c r="R30" s="7" t="s">
        <v>12</v>
      </c>
      <c r="S30" s="327" t="str">
        <f ca="1">AJ23</f>
        <v>Italië</v>
      </c>
      <c r="T30" s="353">
        <v>1</v>
      </c>
      <c r="U30" s="54" t="s">
        <v>12</v>
      </c>
      <c r="V30" s="353">
        <v>2</v>
      </c>
      <c r="W30" s="60"/>
      <c r="X30" s="17"/>
      <c r="Y30" s="4" t="str">
        <f t="shared" si="3"/>
        <v>GOED</v>
      </c>
      <c r="Z30" s="4" t="str">
        <f t="shared" si="4"/>
        <v>GOED</v>
      </c>
      <c r="AA30" s="138" t="str">
        <f t="shared" si="5"/>
        <v>21|</v>
      </c>
      <c r="AB30" s="4" t="str">
        <f t="shared" si="6"/>
        <v>GOED</v>
      </c>
      <c r="AC30" s="4" t="str">
        <f t="shared" si="7"/>
        <v>GOED</v>
      </c>
      <c r="AD30" s="138" t="str">
        <f t="shared" si="8"/>
        <v>12|</v>
      </c>
      <c r="AE30" s="285">
        <f t="shared" si="9"/>
        <v>3</v>
      </c>
      <c r="AF30" s="106">
        <v>19</v>
      </c>
      <c r="AG30" s="106" t="str">
        <f t="shared" ca="1" si="0"/>
        <v>21|</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1</v>
      </c>
      <c r="AO30" s="206">
        <f>IF(ISNUMBER(L39),L39,0)</f>
        <v>0</v>
      </c>
      <c r="AP30" s="155">
        <f>IF(AA35&lt;&gt;"FOUT",IF(AM30&gt;AL31,3,IF(AM30=AL31,1,0)),0)+IF(AA37&lt;&gt;"FOUT",IF(AN30&gt;AL32,3,IF(AN30=AL32,1,0)),0)+IF(AA39&lt;&gt;"FOUT",IF(AO30&gt;AL33,3,IF(AO30=AL33,1,0)),0)</f>
        <v>0</v>
      </c>
      <c r="AQ30" s="158">
        <f>SUM(AL30:AO30)</f>
        <v>1</v>
      </c>
      <c r="AR30" s="157">
        <f>SUM(AL30:AL33)</f>
        <v>5</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4960103500004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12|</v>
      </c>
      <c r="AH31" s="171" t="str">
        <f ca="1">RIGHT(AJ28,1)&amp;2</f>
        <v>C2</v>
      </c>
      <c r="AI31" s="168">
        <f ca="1">$AV$85</f>
        <v>1</v>
      </c>
      <c r="AJ31" s="154" t="str">
        <f ca="1">VLOOKUP(AH31,Voorblad!$X$67:$Z$98,2,FALSE)</f>
        <v>Denemarken</v>
      </c>
      <c r="AK31" s="110" t="str">
        <f ca="1">VLOOKUP(AH31,Voorblad!$X$67:$Z$98,3,FALSE)</f>
        <v>DK</v>
      </c>
      <c r="AL31" s="207">
        <f>IF(ISNUMBER(L35),L35,0)</f>
        <v>1</v>
      </c>
      <c r="AM31" s="202">
        <v>0</v>
      </c>
      <c r="AN31" s="163">
        <f>IF(ISNUMBER(J40),J40,0)</f>
        <v>1</v>
      </c>
      <c r="AO31" s="163">
        <f>IF(ISNUMBER(L38),L38,0)</f>
        <v>1</v>
      </c>
      <c r="AP31" s="151">
        <f>IF(AA35&lt;&gt;"FOUT",IF(AL31&gt;AM30,3,IF(AL31=AM30,1,0)),0)+IF(AA40&lt;&gt;"FOUT",IF(AN31&gt;AM32,3,IF(AN31=AM32,1,0)),0)+IF(AA38&lt;&gt;"FOUT",IF(AO31&gt;AM33,3,IF(AO31=AM33,1,0)),0)</f>
        <v>3</v>
      </c>
      <c r="AQ31" s="153">
        <f>SUM(AL31:AO31)</f>
        <v>3</v>
      </c>
      <c r="AR31" s="152">
        <f>SUM(AM30:AM33)</f>
        <v>4</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34990303500001</v>
      </c>
      <c r="BA31" s="215">
        <f ca="1">RANK(AZ31,AZ30:AZ33)</f>
        <v>3</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01|</v>
      </c>
      <c r="AH32" s="171" t="str">
        <f ca="1">RIGHT(AJ28,1)&amp;3</f>
        <v>C3</v>
      </c>
      <c r="AI32" s="168">
        <f ca="1">$AW$85</f>
        <v>3</v>
      </c>
      <c r="AJ32" s="154" t="str">
        <f ca="1">VLOOKUP(AH32,Voorblad!$X$67:$Z$98,2,FALSE)</f>
        <v>Servië</v>
      </c>
      <c r="AK32" s="110" t="str">
        <f ca="1">VLOOKUP(AH32,Voorblad!$X$67:$Z$98,3,FALSE)</f>
        <v>RS</v>
      </c>
      <c r="AL32" s="207">
        <f>IF(ISNUMBER(L37),L37,0)</f>
        <v>2</v>
      </c>
      <c r="AM32" s="163">
        <f>IF(ISNUMBER(L40),L40,0)</f>
        <v>2</v>
      </c>
      <c r="AN32" s="202">
        <v>0</v>
      </c>
      <c r="AO32" s="163">
        <f>IF(ISNUMBER(J36),J36,0)</f>
        <v>1</v>
      </c>
      <c r="AP32" s="151">
        <f>IF(AA37&lt;&gt;"FOUT",IF(AL32&gt;AN30,3,IF(AL32=AN30,1,0)),0)+IF(AA40&lt;&gt;"FOUT",IF(AM32&gt;AN31,3,IF(AM32=AN31,1,0)),0)+IF(AA36&lt;&gt;"FOUT",IF(AO32&gt;AN33,3,IF(AO32=AN33,1,0)),0)</f>
        <v>6</v>
      </c>
      <c r="AQ32" s="153">
        <f>SUM(AL32:AO32)</f>
        <v>5</v>
      </c>
      <c r="AR32" s="152">
        <f>SUM(AN30:AN33)</f>
        <v>4</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65010503500003</v>
      </c>
      <c r="BA32" s="215">
        <f ca="1">RANK(AZ32,AZ30:AZ33)</f>
        <v>2</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20" t="str">
        <f ca="1">"Controle "&amp;D33</f>
        <v>Controle Groep C</v>
      </c>
      <c r="Z33" s="1120"/>
      <c r="AA33" s="1120"/>
      <c r="AB33" s="1120" t="str">
        <f ca="1">"Controle "&amp;N33</f>
        <v>Controle Groep D</v>
      </c>
      <c r="AC33" s="1120"/>
      <c r="AD33" s="1120"/>
      <c r="AE33" s="849"/>
      <c r="AF33" s="251">
        <v>23</v>
      </c>
      <c r="AG33" s="106" t="str">
        <f t="shared" ca="1" si="0"/>
        <v>12|</v>
      </c>
      <c r="AH33" s="171" t="str">
        <f ca="1">RIGHT(AJ28,1)&amp;4</f>
        <v>C4</v>
      </c>
      <c r="AI33" s="168">
        <f ca="1">$AX$85</f>
        <v>2</v>
      </c>
      <c r="AJ33" s="150" t="str">
        <f ca="1">VLOOKUP(AH33,Voorblad!$X$67:$Z$98,2,FALSE)</f>
        <v>Engeland</v>
      </c>
      <c r="AK33" s="149" t="str">
        <f ca="1">VLOOKUP(AH33,Voorblad!$X$67:$Z$98,3,FALSE)</f>
        <v>GB</v>
      </c>
      <c r="AL33" s="208">
        <f>IF(ISNUMBER(J39),J39,0)</f>
        <v>2</v>
      </c>
      <c r="AM33" s="209">
        <f>IF(ISNUMBER(J38),J38,0)</f>
        <v>2</v>
      </c>
      <c r="AN33" s="209">
        <f>IF(ISNUMBER(L36),L36,0)</f>
        <v>2</v>
      </c>
      <c r="AO33" s="210">
        <v>0</v>
      </c>
      <c r="AP33" s="428">
        <f>IF(AA39&lt;&gt;"FOUT",IF(AL33&gt;AO30,3,IF(AL33=AO30,1,0)),0)+IF(AA38&lt;&gt;"FOUT",IF(AM33&gt;AO31,3,IF(AM33=AO31,1,0)),0)+IF(AA36&lt;&gt;"FOUT",IF(AN33&gt;AO32,3,IF(AN33=AO32,1,0)),0)</f>
        <v>9</v>
      </c>
      <c r="AQ33" s="148">
        <f>SUM(AL33:AO33)</f>
        <v>6</v>
      </c>
      <c r="AR33" s="147">
        <f>SUM(AO30:AO33)</f>
        <v>2</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95040603500002</v>
      </c>
      <c r="BA33" s="216">
        <f ca="1">RANK(AZ33,AZ30:AZ33)</f>
        <v>1</v>
      </c>
    </row>
    <row r="34" spans="2:53" ht="15" customHeight="1" x14ac:dyDescent="0.25">
      <c r="B34" s="17"/>
      <c r="C34" s="949"/>
      <c r="D34" s="107"/>
      <c r="E34" s="939" t="str">
        <f ca="1">Taal04!$B$20</f>
        <v>Datum</v>
      </c>
      <c r="F34" s="939" t="str">
        <f ca="1">Taal04!$B$21</f>
        <v>Tijd</v>
      </c>
      <c r="G34" s="1116" t="str">
        <f ca="1">Taal04!$B$22</f>
        <v>Wedstrijd</v>
      </c>
      <c r="H34" s="1116"/>
      <c r="I34" s="1116"/>
      <c r="J34" s="1116" t="str">
        <f ca="1">Taal04!$B$24</f>
        <v>Eindstand</v>
      </c>
      <c r="K34" s="1117"/>
      <c r="L34" s="1117"/>
      <c r="M34" s="17"/>
      <c r="N34" s="107"/>
      <c r="O34" s="939" t="str">
        <f ca="1">Taal04!$B$20</f>
        <v>Datum</v>
      </c>
      <c r="P34" s="939" t="str">
        <f ca="1">Taal04!$B$21</f>
        <v>Tijd</v>
      </c>
      <c r="Q34" s="1116" t="str">
        <f ca="1">Taal04!$B$22</f>
        <v>Wedstrijd</v>
      </c>
      <c r="R34" s="1116"/>
      <c r="S34" s="1116"/>
      <c r="T34" s="1116" t="str">
        <f ca="1">Taal04!$B$24</f>
        <v>Eindstand</v>
      </c>
      <c r="U34" s="1117"/>
      <c r="V34" s="1117"/>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1</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01|</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12|</v>
      </c>
      <c r="AE35" s="285">
        <f t="shared" ref="AE35:AE40" si="15">IF(AND(Y35="GOED",Z35="GOED",AB35="GOED",AB35="GOED"),IF(J35+L35&gt;T35+V35,J35+L35,T35+V35),IF(AND(Y35="GOED",Z35="GOED"),J35+L35,IF(AND(AB35="GOED",AB35="GOED"),T35+V35,0)))</f>
        <v>3</v>
      </c>
      <c r="AF35" s="251">
        <v>25</v>
      </c>
      <c r="AG35" s="106" t="str">
        <f t="shared" si="0"/>
        <v>12|</v>
      </c>
      <c r="AH35" s="1113"/>
      <c r="AI35" s="1113"/>
      <c r="AJ35" s="70"/>
      <c r="AK35" s="1113" t="s">
        <v>175</v>
      </c>
      <c r="AL35" s="1113" t="str">
        <f ca="1">AJ39</f>
        <v>Polen</v>
      </c>
      <c r="AM35" s="1113" t="str">
        <f ca="1">AJ40</f>
        <v>Nederland</v>
      </c>
      <c r="AN35" s="1113" t="str">
        <f ca="1">AJ41</f>
        <v>Oostenrijk</v>
      </c>
      <c r="AO35" s="1113" t="str">
        <f ca="1">AJ42</f>
        <v>Frankrijk</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1</v>
      </c>
      <c r="K36" s="54" t="s">
        <v>12</v>
      </c>
      <c r="L36" s="353">
        <v>2</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12|</v>
      </c>
      <c r="AB36" s="4" t="str">
        <f t="shared" si="12"/>
        <v>GOED</v>
      </c>
      <c r="AC36" s="4" t="str">
        <f t="shared" si="13"/>
        <v>GOED</v>
      </c>
      <c r="AD36" s="138" t="str">
        <f t="shared" si="14"/>
        <v>02|</v>
      </c>
      <c r="AE36" s="285">
        <f t="shared" si="15"/>
        <v>3</v>
      </c>
      <c r="AF36" s="251">
        <v>26</v>
      </c>
      <c r="AG36" s="106" t="str">
        <f t="shared" si="0"/>
        <v>21|</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2</v>
      </c>
      <c r="M37" s="9"/>
      <c r="N37" s="6">
        <v>19</v>
      </c>
      <c r="O37" s="11">
        <f>DATE(2024,6,21)+TIME(18,0,0)</f>
        <v>45464.75</v>
      </c>
      <c r="P37" s="134">
        <f t="shared" si="11"/>
        <v>45464.75</v>
      </c>
      <c r="Q37" s="440" t="str">
        <f ca="1">AJ39</f>
        <v>Polen</v>
      </c>
      <c r="R37" s="441" t="s">
        <v>12</v>
      </c>
      <c r="S37" s="442" t="str">
        <f ca="1">AJ41</f>
        <v>Oostenrijk</v>
      </c>
      <c r="T37" s="353">
        <v>2</v>
      </c>
      <c r="U37" s="54" t="s">
        <v>12</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12|</v>
      </c>
      <c r="AB37" s="4" t="str">
        <f t="shared" si="12"/>
        <v>GOED</v>
      </c>
      <c r="AC37" s="4" t="str">
        <f t="shared" si="13"/>
        <v>GOED</v>
      </c>
      <c r="AD37" s="138" t="str">
        <f t="shared" si="14"/>
        <v>21|</v>
      </c>
      <c r="AE37" s="285">
        <f t="shared" si="15"/>
        <v>3</v>
      </c>
      <c r="AF37" s="251">
        <v>27</v>
      </c>
      <c r="AG37" s="106" t="str">
        <f t="shared" ca="1" si="0"/>
        <v>03|</v>
      </c>
      <c r="AH37" s="1113"/>
      <c r="AI37" s="1113"/>
      <c r="AJ37" s="161" t="str">
        <f ca="1">N33</f>
        <v>Groep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1</v>
      </c>
      <c r="M38" s="9"/>
      <c r="N38" s="6">
        <v>20</v>
      </c>
      <c r="O38" s="11">
        <f>DATE(2024,6,21)+TIME(21,0,0)</f>
        <v>45464.875</v>
      </c>
      <c r="P38" s="134">
        <f t="shared" si="11"/>
        <v>45464.875</v>
      </c>
      <c r="Q38" s="8" t="str">
        <f ca="1">AJ40</f>
        <v>Nederland</v>
      </c>
      <c r="R38" s="7" t="s">
        <v>12</v>
      </c>
      <c r="S38" s="327" t="str">
        <f ca="1">AJ42</f>
        <v>Frankrijk</v>
      </c>
      <c r="T38" s="353">
        <v>1</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21|</v>
      </c>
      <c r="AB38" s="4" t="str">
        <f t="shared" si="12"/>
        <v>GOED</v>
      </c>
      <c r="AC38" s="4" t="str">
        <f t="shared" si="13"/>
        <v>GOED</v>
      </c>
      <c r="AD38" s="138" t="str">
        <f t="shared" si="14"/>
        <v>12|</v>
      </c>
      <c r="AE38" s="285">
        <f t="shared" si="15"/>
        <v>3</v>
      </c>
      <c r="AF38" s="251">
        <v>28</v>
      </c>
      <c r="AG38" s="106" t="str">
        <f t="shared" ca="1" si="0"/>
        <v>12|</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2</v>
      </c>
      <c r="K39" s="54" t="s">
        <v>12</v>
      </c>
      <c r="L39" s="353">
        <v>0</v>
      </c>
      <c r="M39" s="9"/>
      <c r="N39" s="6">
        <v>31</v>
      </c>
      <c r="O39" s="436">
        <f>DATE(2024,6,25)+TIME(18,0,0)</f>
        <v>45468.75</v>
      </c>
      <c r="P39" s="134">
        <f t="shared" si="11"/>
        <v>45468.75</v>
      </c>
      <c r="Q39" s="8" t="str">
        <f ca="1">AJ40</f>
        <v>Nederland</v>
      </c>
      <c r="R39" s="7" t="s">
        <v>12</v>
      </c>
      <c r="S39" s="327" t="str">
        <f ca="1">AJ41</f>
        <v>Oostenrijk</v>
      </c>
      <c r="T39" s="353">
        <v>3</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20|</v>
      </c>
      <c r="AB39" s="4" t="str">
        <f t="shared" si="12"/>
        <v>GOED</v>
      </c>
      <c r="AC39" s="4" t="str">
        <f t="shared" si="13"/>
        <v>GOED</v>
      </c>
      <c r="AD39" s="138" t="str">
        <f t="shared" si="14"/>
        <v>30|</v>
      </c>
      <c r="AE39" s="285">
        <f t="shared" si="15"/>
        <v>3</v>
      </c>
      <c r="AF39" s="251">
        <v>31</v>
      </c>
      <c r="AG39" s="106" t="str">
        <f t="shared" ca="1" si="0"/>
        <v>30|</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2</v>
      </c>
      <c r="AO39" s="206">
        <f>IF(ISNUMBER(V40),V40,0)</f>
        <v>1</v>
      </c>
      <c r="AP39" s="155">
        <f>IF(AD35&lt;&gt;"FOUT",IF(AM39&gt;AL40,3,IF(AM39=AL40,1,0)),0)+IF(AD37&lt;&gt;"FOUT",IF(AN39&gt;AL41,3,IF(AN39=AL41,1,0)),0)+IF(AD40&lt;&gt;"FOUT",IF(AO39&gt;AL42,3,IF(AO39=AL42,1,0)),0)</f>
        <v>3</v>
      </c>
      <c r="AQ39" s="158">
        <f>SUM(AL39:AO39)</f>
        <v>4</v>
      </c>
      <c r="AR39" s="157">
        <f>SUM(AL39:AL42)</f>
        <v>5</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34990403500004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2</v>
      </c>
      <c r="M40" s="9"/>
      <c r="N40" s="6">
        <v>32</v>
      </c>
      <c r="O40" s="436">
        <f>O39</f>
        <v>45468.75</v>
      </c>
      <c r="P40" s="134">
        <f t="shared" si="11"/>
        <v>45468.75</v>
      </c>
      <c r="Q40" s="8" t="str">
        <f ca="1">AJ42</f>
        <v>Frankrijk</v>
      </c>
      <c r="R40" s="7" t="s">
        <v>12</v>
      </c>
      <c r="S40" s="327" t="str">
        <f ca="1">AJ39</f>
        <v>Polen</v>
      </c>
      <c r="T40" s="353">
        <v>2</v>
      </c>
      <c r="U40" s="54" t="s">
        <v>12</v>
      </c>
      <c r="V40" s="353">
        <v>1</v>
      </c>
      <c r="W40" s="60"/>
      <c r="X40" s="17"/>
      <c r="Y40" s="4" t="str">
        <f t="shared" si="16"/>
        <v>GOED</v>
      </c>
      <c r="Z40" s="4" t="str">
        <f t="shared" si="17"/>
        <v>GOED</v>
      </c>
      <c r="AA40" s="138" t="str">
        <f t="shared" si="18"/>
        <v>12|</v>
      </c>
      <c r="AB40" s="4" t="str">
        <f t="shared" si="12"/>
        <v>GOED</v>
      </c>
      <c r="AC40" s="4" t="str">
        <f t="shared" si="13"/>
        <v>GOED</v>
      </c>
      <c r="AD40" s="138" t="str">
        <f t="shared" si="14"/>
        <v>21|</v>
      </c>
      <c r="AE40" s="285">
        <f t="shared" si="15"/>
        <v>3</v>
      </c>
      <c r="AF40" s="106">
        <v>32</v>
      </c>
      <c r="AG40" s="106" t="str">
        <f t="shared" ca="1" si="0"/>
        <v>21|</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3</v>
      </c>
      <c r="AO40" s="163">
        <f>IF(ISNUMBER(T38),T38,0)</f>
        <v>1</v>
      </c>
      <c r="AP40" s="151">
        <f>IF(AD35&lt;&gt;"FOUT",IF(AL40&gt;AM39,3,IF(AL40=AM39,1,0)),0)+IF(AD39&lt;&gt;"FOUT",IF(AN40&gt;AM41,3,IF(AN40=AM41,1,0)),0)+IF(AD38&lt;&gt;"FOUT",IF(AO40&gt;AM42,3,IF(AO40=AM42,1,0)),0)</f>
        <v>6</v>
      </c>
      <c r="AQ40" s="153">
        <f>SUM(AL40:AO40)</f>
        <v>6</v>
      </c>
      <c r="AR40" s="152">
        <f>SUM(AM39:AM42)</f>
        <v>3</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65030603500002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20|</v>
      </c>
      <c r="AH41" s="171" t="str">
        <f ca="1">RIGHT(AJ37,1)&amp;3</f>
        <v>D3</v>
      </c>
      <c r="AI41" s="168">
        <f ca="1">$AW$86</f>
        <v>3</v>
      </c>
      <c r="AJ41" s="154" t="str">
        <f ca="1">VLOOKUP(AH41,Voorblad!$X$67:$Z$98,2,FALSE)</f>
        <v>Oostenrijk</v>
      </c>
      <c r="AK41" s="110" t="str">
        <f ca="1">VLOOKUP(AH41,Voorblad!$X$67:$Z$98,3,FALSE)</f>
        <v>AT</v>
      </c>
      <c r="AL41" s="207">
        <f>IF(ISNUMBER(V37),V37,0)</f>
        <v>1</v>
      </c>
      <c r="AM41" s="163">
        <f>IF(ISNUMBER(V39),V39,0)</f>
        <v>0</v>
      </c>
      <c r="AN41" s="202">
        <v>0</v>
      </c>
      <c r="AO41" s="163">
        <f>IF(ISNUMBER(T36),T36,0)</f>
        <v>0</v>
      </c>
      <c r="AP41" s="151">
        <f>IF(AD37&lt;&gt;"FOUT",IF(AL41&gt;AN39,3,IF(AL41=AN39,1,0)),0)+IF(AD39&lt;&gt;"FOUT",IF(AM41&gt;AN40,3,IF(AM41=AN40,1,0)),0)+IF(AD36&lt;&gt;"FOUT",IF(AO41&gt;AN42,3,IF(AO41=AN42,1,0)),0)</f>
        <v>0</v>
      </c>
      <c r="AQ41" s="153">
        <f>SUM(AL41:AO41)</f>
        <v>1</v>
      </c>
      <c r="AR41" s="152">
        <f>SUM(AN39:AN42)</f>
        <v>7</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4940103500003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12|</v>
      </c>
      <c r="AH42" s="171" t="str">
        <f ca="1">RIGHT(AJ37,1)&amp;4</f>
        <v>D4</v>
      </c>
      <c r="AI42" s="168">
        <f ca="1">$AX$86</f>
        <v>1</v>
      </c>
      <c r="AJ42" s="150" t="str">
        <f ca="1">VLOOKUP(AH42,Voorblad!$X$67:$Z$98,2,FALSE)</f>
        <v>Frankrijk</v>
      </c>
      <c r="AK42" s="149" t="str">
        <f ca="1">VLOOKUP(AH42,Voorblad!$X$67:$Z$98,3,FALSE)</f>
        <v>FR</v>
      </c>
      <c r="AL42" s="208">
        <f>IF(ISNUMBER(T40),T40,0)</f>
        <v>2</v>
      </c>
      <c r="AM42" s="209">
        <f>IF(ISNUMBER(V38),V38,0)</f>
        <v>2</v>
      </c>
      <c r="AN42" s="209">
        <f>IF(ISNUMBER(V36),V36,0)</f>
        <v>2</v>
      </c>
      <c r="AO42" s="210">
        <v>0</v>
      </c>
      <c r="AP42" s="428">
        <f>IF(AD40&lt;&gt;"FOUT",IF(AL42&gt;AO39,3,IF(AL42=AO39,1,0)),0)+IF(AD38&lt;&gt;"FOUT",IF(AM42&gt;AO40,3,IF(AM42=AO40,1,0)),0)+IF(AD36&lt;&gt;"FOUT",IF(AN42&gt;AO41,3,IF(AN42=AO41,1,0)),0)</f>
        <v>9</v>
      </c>
      <c r="AQ42" s="148">
        <f>SUM(AL42:AO42)</f>
        <v>6</v>
      </c>
      <c r="AR42" s="147">
        <f>SUM(AO39:AO42)</f>
        <v>2</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95040603500001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20" t="str">
        <f ca="1">"Controle "&amp;D43</f>
        <v>Controle Groep E</v>
      </c>
      <c r="Z43" s="1120"/>
      <c r="AA43" s="1120"/>
      <c r="AB43" s="1120" t="str">
        <f ca="1">"Controle "&amp;N43</f>
        <v>Controle Groep F</v>
      </c>
      <c r="AC43" s="1120"/>
      <c r="AD43" s="1120"/>
      <c r="AE43" s="849"/>
      <c r="AF43" s="251">
        <v>33</v>
      </c>
      <c r="AG43" s="106" t="str">
        <f t="shared" ca="1" si="0"/>
        <v>11|</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16" t="str">
        <f ca="1">Taal04!$B$22</f>
        <v>Wedstrijd</v>
      </c>
      <c r="H44" s="1116"/>
      <c r="I44" s="1116"/>
      <c r="J44" s="1116" t="str">
        <f ca="1">Taal04!$B$24</f>
        <v>Eindstand</v>
      </c>
      <c r="K44" s="1117"/>
      <c r="L44" s="1117"/>
      <c r="M44" s="17"/>
      <c r="N44" s="107"/>
      <c r="O44" s="939" t="str">
        <f ca="1">Taal04!$B$20</f>
        <v>Datum</v>
      </c>
      <c r="P44" s="939" t="str">
        <f ca="1">Taal04!$B$21</f>
        <v>Tijd</v>
      </c>
      <c r="Q44" s="1116" t="str">
        <f ca="1">Taal04!$B$22</f>
        <v>Wedstrijd</v>
      </c>
      <c r="R44" s="1116"/>
      <c r="S44" s="1116"/>
      <c r="T44" s="1116" t="str">
        <f ca="1">Taal04!$B$24</f>
        <v>Eindstand</v>
      </c>
      <c r="U44" s="1117"/>
      <c r="V44" s="1117"/>
      <c r="W44" s="955"/>
      <c r="X44" s="17"/>
      <c r="Y44" s="4" t="s">
        <v>24</v>
      </c>
      <c r="Z44" s="4" t="s">
        <v>25</v>
      </c>
      <c r="AA44" s="138" t="s">
        <v>0</v>
      </c>
      <c r="AB44" s="4" t="s">
        <v>24</v>
      </c>
      <c r="AC44" s="4" t="s">
        <v>25</v>
      </c>
      <c r="AD44" s="138" t="s">
        <v>0</v>
      </c>
      <c r="AE44" s="849"/>
      <c r="AF44" s="251">
        <v>34</v>
      </c>
      <c r="AG44" s="106" t="str">
        <f t="shared" ca="1" si="0"/>
        <v>02|</v>
      </c>
      <c r="AH44" s="1113"/>
      <c r="AI44" s="1113"/>
      <c r="AJ44" s="70"/>
      <c r="AK44" s="1113" t="s">
        <v>175</v>
      </c>
      <c r="AL44" s="1113" t="str">
        <f ca="1">AJ48</f>
        <v>België</v>
      </c>
      <c r="AM44" s="1113" t="str">
        <f ca="1">AJ49</f>
        <v>Slowakije</v>
      </c>
      <c r="AN44" s="1113" t="str">
        <f ca="1">AJ50</f>
        <v>Roemenië</v>
      </c>
      <c r="AO44" s="1113" t="str">
        <f ca="1">AJ51</f>
        <v>Oekraïne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2</v>
      </c>
      <c r="K45" s="54" t="s">
        <v>12</v>
      </c>
      <c r="L45" s="353">
        <v>1</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1</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21|</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21|</v>
      </c>
      <c r="AE45" s="285">
        <f t="shared" ref="AE45:AE50" si="27">IF(AND(Y45="GOED",Z45="GOED",AB45="GOED",AB45="GOED"),IF(J45+L45&gt;T45+V45,J45+L45,T45+V45),IF(AND(Y45="GOED",Z45="GOED"),J45+L45,IF(AND(AB45="GOED",AB45="GOED"),T45+V45,0)))</f>
        <v>3</v>
      </c>
      <c r="AF45" s="251">
        <v>35</v>
      </c>
      <c r="AG45" s="106" t="str">
        <f t="shared" ca="1" si="0"/>
        <v>12|</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0</v>
      </c>
      <c r="M46" s="9"/>
      <c r="N46" s="6">
        <v>12</v>
      </c>
      <c r="O46" s="11">
        <f>DATE(2024,6,18)+TIME(21,0,0)</f>
        <v>45461.875</v>
      </c>
      <c r="P46" s="134">
        <f t="shared" si="20"/>
        <v>45461.875</v>
      </c>
      <c r="Q46" s="440" t="str">
        <f ca="1">AJ59</f>
        <v>Portugal</v>
      </c>
      <c r="R46" s="441" t="s">
        <v>12</v>
      </c>
      <c r="S46" s="442" t="str">
        <f ca="1">AJ60</f>
        <v>Tsjechië</v>
      </c>
      <c r="T46" s="353">
        <v>2</v>
      </c>
      <c r="U46" s="54" t="s">
        <v>12</v>
      </c>
      <c r="V46" s="353">
        <v>0</v>
      </c>
      <c r="W46" s="955"/>
      <c r="X46" s="17"/>
      <c r="Y46" s="4" t="str">
        <f t="shared" si="21"/>
        <v>GOED</v>
      </c>
      <c r="Z46" s="4" t="str">
        <f t="shared" si="22"/>
        <v>GOED</v>
      </c>
      <c r="AA46" s="138" t="str">
        <f t="shared" si="23"/>
        <v>20|</v>
      </c>
      <c r="AB46" s="4" t="str">
        <f t="shared" si="24"/>
        <v>GOED</v>
      </c>
      <c r="AC46" s="4" t="str">
        <f t="shared" si="25"/>
        <v>GOED</v>
      </c>
      <c r="AD46" s="138" t="str">
        <f t="shared" si="26"/>
        <v>20|</v>
      </c>
      <c r="AE46" s="285">
        <f t="shared" si="27"/>
        <v>2</v>
      </c>
      <c r="AF46" s="251">
        <v>36</v>
      </c>
      <c r="AG46" s="106" t="str">
        <f t="shared" ca="1" si="0"/>
        <v>12|</v>
      </c>
      <c r="AH46" s="1113"/>
      <c r="AI46" s="1113"/>
      <c r="AJ46" s="445" t="str">
        <f ca="1">D43</f>
        <v>Groep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1</v>
      </c>
      <c r="K47" s="54" t="s">
        <v>12</v>
      </c>
      <c r="L47" s="353">
        <v>1</v>
      </c>
      <c r="M47" s="9"/>
      <c r="N47" s="6">
        <v>24</v>
      </c>
      <c r="O47" s="11">
        <f>DATE(2024,6,22)+TIME(15,0,0)</f>
        <v>45465.625</v>
      </c>
      <c r="P47" s="134">
        <f>O47+TIME(0,0,0)</f>
        <v>45465.625</v>
      </c>
      <c r="Q47" s="440" t="str">
        <f ca="1">AJ58</f>
        <v>Georgië</v>
      </c>
      <c r="R47" s="441" t="s">
        <v>12</v>
      </c>
      <c r="S47" s="442" t="str">
        <f ca="1">AJ60</f>
        <v>Tsjechië</v>
      </c>
      <c r="T47" s="353">
        <v>0</v>
      </c>
      <c r="U47" s="54" t="s">
        <v>12</v>
      </c>
      <c r="V47" s="353">
        <v>1</v>
      </c>
      <c r="W47" s="955"/>
      <c r="X47" s="17"/>
      <c r="Y47" s="4" t="str">
        <f t="shared" si="21"/>
        <v>GOED</v>
      </c>
      <c r="Z47" s="4" t="str">
        <f t="shared" si="22"/>
        <v>GOED</v>
      </c>
      <c r="AA47" s="138" t="str">
        <f t="shared" si="23"/>
        <v>11|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01|</v>
      </c>
      <c r="AE47" s="285">
        <f t="shared" si="27"/>
        <v>2</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2</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12|</v>
      </c>
      <c r="AE48" s="285">
        <f t="shared" si="27"/>
        <v>3</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2</v>
      </c>
      <c r="AO48" s="206">
        <f>IF(ISNUMBER(L50),L50,0)</f>
        <v>2</v>
      </c>
      <c r="AP48" s="155">
        <f>IF(AA46&lt;&gt;"FOUT",IF(AM48&gt;AL49,3,IF(AM48=AL49,1,0)),0)+IF(AA48&lt;&gt;"FOUT",IF(AN48&gt;AL50,3,IF(AN48=AL50,1,0)),0)+IF(AA50&lt;&gt;"FOUT",IF(AO48&gt;AL51,3,IF(AO48=AL51,1,0)),0)</f>
        <v>9</v>
      </c>
      <c r="AQ48" s="158">
        <f>SUM(AL48:AO48)</f>
        <v>6</v>
      </c>
      <c r="AR48" s="157">
        <f>SUM(AL48:AL51)</f>
        <v>0</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95060603500001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1</v>
      </c>
      <c r="M49" s="9"/>
      <c r="N49" s="6">
        <v>35</v>
      </c>
      <c r="O49" s="436">
        <f>DATE(2024,6,26)+TIME(21,0,0)</f>
        <v>45469.875</v>
      </c>
      <c r="P49" s="134">
        <f t="shared" si="20"/>
        <v>45469.875</v>
      </c>
      <c r="Q49" s="8" t="str">
        <f ca="1">AJ58</f>
        <v>Georgië</v>
      </c>
      <c r="R49" s="7" t="s">
        <v>12</v>
      </c>
      <c r="S49" s="327" t="str">
        <f ca="1">AJ59</f>
        <v>Portugal</v>
      </c>
      <c r="T49" s="353">
        <v>1</v>
      </c>
      <c r="U49" s="54" t="s">
        <v>12</v>
      </c>
      <c r="V49" s="353">
        <v>2</v>
      </c>
      <c r="W49" s="955"/>
      <c r="X49" s="17"/>
      <c r="Y49" s="4" t="str">
        <f t="shared" si="21"/>
        <v>GOED</v>
      </c>
      <c r="Z49" s="4" t="str">
        <f t="shared" si="22"/>
        <v>GOED</v>
      </c>
      <c r="AA49" s="138" t="str">
        <f t="shared" si="23"/>
        <v>11|</v>
      </c>
      <c r="AB49" s="4" t="str">
        <f t="shared" si="24"/>
        <v>GOED</v>
      </c>
      <c r="AC49" s="4" t="str">
        <f t="shared" si="25"/>
        <v>GOED</v>
      </c>
      <c r="AD49" s="138" t="str">
        <f t="shared" si="26"/>
        <v>12|</v>
      </c>
      <c r="AE49" s="285">
        <f t="shared" si="27"/>
        <v>3</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1</v>
      </c>
      <c r="AO49" s="163">
        <f>IF(ISNUMBER(J47),J47,0)</f>
        <v>1</v>
      </c>
      <c r="AP49" s="151">
        <f>IF(AA46&lt;&gt;"FOUT",IF(AL49&gt;AM48,3,IF(AL49=AM48,1,0)),0)+IF(AA49&lt;&gt;"FOUT",IF(AN49&gt;AM50,3,IF(AN49=AM50,1,0)),0)+IF(AA47&lt;&gt;"FOUT",IF(AO49&gt;AM51,3,IF(AO49=AM51,1,0)),0)</f>
        <v>2</v>
      </c>
      <c r="AQ49" s="153">
        <f>SUM(AL49:AO49)</f>
        <v>2</v>
      </c>
      <c r="AR49" s="152">
        <f>SUM(AM48:AM51)</f>
        <v>4</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24980203500004</v>
      </c>
      <c r="BA49" s="215">
        <f ca="1">RANK(AZ49,AZ48:AZ51)</f>
        <v>3</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2</v>
      </c>
      <c r="M50" s="9"/>
      <c r="N50" s="6">
        <v>36</v>
      </c>
      <c r="O50" s="436">
        <f>O49</f>
        <v>45469.875</v>
      </c>
      <c r="P50" s="134">
        <f t="shared" si="20"/>
        <v>45469.875</v>
      </c>
      <c r="Q50" s="8" t="str">
        <f ca="1">AJ60</f>
        <v>Tsjechië</v>
      </c>
      <c r="R50" s="7" t="s">
        <v>12</v>
      </c>
      <c r="S50" s="327" t="str">
        <f ca="1">AJ57</f>
        <v>Turkije</v>
      </c>
      <c r="T50" s="353">
        <v>1</v>
      </c>
      <c r="U50" s="54" t="s">
        <v>12</v>
      </c>
      <c r="V50" s="353">
        <v>2</v>
      </c>
      <c r="W50" s="955"/>
      <c r="X50" s="17"/>
      <c r="Y50" s="4" t="str">
        <f t="shared" si="21"/>
        <v>GOED</v>
      </c>
      <c r="Z50" s="4" t="str">
        <f t="shared" si="22"/>
        <v>GOED</v>
      </c>
      <c r="AA50" s="138" t="str">
        <f t="shared" si="23"/>
        <v>02|</v>
      </c>
      <c r="AB50" s="4" t="str">
        <f t="shared" si="24"/>
        <v>GOED</v>
      </c>
      <c r="AC50" s="4" t="str">
        <f t="shared" si="25"/>
        <v>GOED</v>
      </c>
      <c r="AD50" s="138" t="str">
        <f t="shared" si="26"/>
        <v>12|</v>
      </c>
      <c r="AE50" s="285">
        <f t="shared" si="27"/>
        <v>3</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1</v>
      </c>
      <c r="AN50" s="202">
        <v>0</v>
      </c>
      <c r="AO50" s="163">
        <f>IF(ISNUMBER(J45),J45,0)</f>
        <v>2</v>
      </c>
      <c r="AP50" s="151">
        <f>IF(AA48&lt;&gt;"FOUT",IF(AL50&gt;AN48,3,IF(AL50=AN48,1,0)),0)+IF(AA49&lt;&gt;"FOUT",IF(AM50&gt;AN49,3,IF(AM50=AN49,1,0)),0)+IF(AA45&lt;&gt;"FOUT",IF(AO50&gt;AN51,3,IF(AO50=AN51,1,0)),0)</f>
        <v>4</v>
      </c>
      <c r="AQ50" s="153">
        <f>SUM(AL50:AO50)</f>
        <v>3</v>
      </c>
      <c r="AR50" s="152">
        <f>SUM(AN48:AN51)</f>
        <v>4</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44990303500003</v>
      </c>
      <c r="BA50" s="215">
        <f ca="1">RANK(AZ50,AZ48:AZ51)</f>
        <v>2</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1</v>
      </c>
      <c r="AN51" s="209">
        <f>IF(ISNUMBER(L45),L45,0)</f>
        <v>1</v>
      </c>
      <c r="AO51" s="210">
        <v>0</v>
      </c>
      <c r="AP51" s="428">
        <f>IF(AA50&lt;&gt;"FOUT",IF(AL51&gt;AO48,3,IF(AL51=AO48,1,0)),0)+IF(AA47&lt;&gt;"FOUT",IF(AM51&gt;AO49,3,IF(AM51=AO49,1,0)),0)+IF(AA45&lt;&gt;"FOUT",IF(AN51&gt;AO50,3,IF(AN51=AO50,1,0)),0)</f>
        <v>1</v>
      </c>
      <c r="AQ51" s="148">
        <f>SUM(AL51:AO51)</f>
        <v>2</v>
      </c>
      <c r="AR51" s="147">
        <f>SUM(AO48:AO51)</f>
        <v>5</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14970203500002</v>
      </c>
      <c r="BA51" s="216">
        <f ca="1">RANK(AZ51,AZ48:AZ51)</f>
        <v>4</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18" t="str">
        <f ca="1">"Controle "&amp;D53</f>
        <v>Controle Groep G</v>
      </c>
      <c r="Z53" s="1118"/>
      <c r="AA53" s="1118"/>
      <c r="AB53" s="1118" t="str">
        <f ca="1">"Controle "&amp;N53</f>
        <v>Controle Groep H</v>
      </c>
      <c r="AC53" s="1118"/>
      <c r="AD53" s="1118"/>
      <c r="AE53" s="849"/>
      <c r="AF53" s="251">
        <v>43</v>
      </c>
      <c r="AG53" s="106" t="str">
        <f t="shared" ca="1" si="0"/>
        <v>ERROR</v>
      </c>
      <c r="AH53" s="1113"/>
      <c r="AI53" s="1113"/>
      <c r="AJ53" s="489"/>
      <c r="AK53" s="1113" t="s">
        <v>175</v>
      </c>
      <c r="AL53" s="1113" t="str">
        <f ca="1">AJ57</f>
        <v>Turkije</v>
      </c>
      <c r="AM53" s="1113" t="str">
        <f ca="1">AJ58</f>
        <v>Georgië</v>
      </c>
      <c r="AN53" s="1113" t="str">
        <f ca="1">AJ59</f>
        <v>Portugal</v>
      </c>
      <c r="AO53" s="1113" t="str">
        <f ca="1">AJ60</f>
        <v>Tsjechië</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Datum</v>
      </c>
      <c r="F54" s="939" t="str">
        <f ca="1">Taal04!$B$21</f>
        <v>Tijd</v>
      </c>
      <c r="G54" s="1116" t="str">
        <f ca="1">Taal04!$B$22</f>
        <v>Wedstrijd</v>
      </c>
      <c r="H54" s="1116"/>
      <c r="I54" s="1116"/>
      <c r="J54" s="1116" t="str">
        <f ca="1">Taal04!$B$24</f>
        <v>Eindstand</v>
      </c>
      <c r="K54" s="1117"/>
      <c r="L54" s="1117"/>
      <c r="M54" s="77"/>
      <c r="N54" s="107"/>
      <c r="O54" s="939" t="str">
        <f ca="1">Taal04!$B$20</f>
        <v>Datum</v>
      </c>
      <c r="P54" s="939" t="s">
        <v>11</v>
      </c>
      <c r="Q54" s="1116" t="str">
        <f ca="1">Taal04!$B$22</f>
        <v>Wedstrijd</v>
      </c>
      <c r="R54" s="1116"/>
      <c r="S54" s="1116"/>
      <c r="T54" s="1116" t="str">
        <f ca="1">Taal04!$B$24</f>
        <v>Eindstand</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Groep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1</v>
      </c>
      <c r="AO57" s="206">
        <f>IF(ISNUMBER(V50),V50,0)</f>
        <v>2</v>
      </c>
      <c r="AP57" s="155">
        <f>IF(AD45&lt;&gt;"FOUT",IF(AM57&gt;AL58,3,IF(AM57=AL58,1,0)),0)+IF(AD48&lt;&gt;"FOUT",IF(AN57&gt;AL59,3,IF(AN57=AL59,1,0)),0)+IF(AD50&lt;&gt;"FOUT",IF(AO57&gt;AL60,3,IF(AO57=AL60,1,0)),0)</f>
        <v>6</v>
      </c>
      <c r="AQ57" s="158">
        <f>SUM(AL57:AO57)</f>
        <v>5</v>
      </c>
      <c r="AR57" s="157">
        <f>SUM(AL57:AL60)</f>
        <v>4</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65010503500004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1</v>
      </c>
      <c r="AM58" s="202">
        <v>0</v>
      </c>
      <c r="AN58" s="163">
        <f>IF(ISNUMBER(T49),T49,0)</f>
        <v>1</v>
      </c>
      <c r="AO58" s="163">
        <f>IF(ISNUMBER(T47),T47,0)</f>
        <v>0</v>
      </c>
      <c r="AP58" s="151">
        <f>IF(AD45&lt;&gt;"FOUT",IF(AL58&gt;AM57,3,IF(AL58=AM57,1,0)),0)+IF(AD49&lt;&gt;"FOUT",IF(AN58&gt;AM59,3,IF(AN58=AM59,1,0)),0)+IF(AD47&lt;&gt;"FOUT",IF(AO58&gt;AM60,3,IF(AO58=AM60,1,0)),0)</f>
        <v>0</v>
      </c>
      <c r="AQ58" s="153">
        <f>SUM(AL58:AO58)</f>
        <v>2</v>
      </c>
      <c r="AR58" s="152">
        <f>SUM(AM57:AM60)</f>
        <v>5</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4970203500001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2</v>
      </c>
      <c r="AN59" s="202">
        <v>0</v>
      </c>
      <c r="AO59" s="163">
        <f>IF(ISNUMBER(T46),T46,0)</f>
        <v>2</v>
      </c>
      <c r="AP59" s="151">
        <f>IF(AD48&lt;&gt;"FOUT",IF(AL59&gt;AN57,3,IF(AL59=AN57,1,0)),0)+IF(AD49&lt;&gt;"FOUT",IF(AM59&gt;AN58,3,IF(AM59=AN58,1,0)),0)+IF(AD46&lt;&gt;"FOUT",IF(AO59&gt;AN60,3,IF(AO59=AN60,1,0)),0)</f>
        <v>9</v>
      </c>
      <c r="AQ59" s="153">
        <f>SUM(AL59:AO59)</f>
        <v>6</v>
      </c>
      <c r="AR59" s="152">
        <f>SUM(AN57:AN60)</f>
        <v>2</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95040603500002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1</v>
      </c>
      <c r="AN60" s="209">
        <f>IF(ISNUMBER(V46),V46,0)</f>
        <v>0</v>
      </c>
      <c r="AO60" s="210">
        <v>0</v>
      </c>
      <c r="AP60" s="428">
        <f>IF(AD50&lt;&gt;"FOUT",IF(AL60&gt;AO57,3,IF(AL60=AO57,1,0)),0)+IF(AD47&lt;&gt;"FOUT",IF(AM60&gt;AO58,3,IF(AM60=AO58,1,0)),0)+IF(AD46&lt;&gt;"FOUT",IF(AN60&gt;AO59,3,IF(AN60=AO59,1,0)),0)</f>
        <v>3</v>
      </c>
      <c r="AQ60" s="148">
        <f>SUM(AL60:AO60)</f>
        <v>2</v>
      </c>
      <c r="AR60" s="147">
        <f>SUM(AO57:AO60)</f>
        <v>4</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34980203500003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Groep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6</v>
      </c>
      <c r="AA69" s="189">
        <f>LARGE($AP$21:$AP$24,2)</f>
        <v>5</v>
      </c>
      <c r="AB69" s="189">
        <f>LARGE($AP$30:$AP$33,2)</f>
        <v>6</v>
      </c>
      <c r="AC69" s="189">
        <f>LARGE($AP$39:$AP$42,2)</f>
        <v>6</v>
      </c>
      <c r="AD69" s="189">
        <f>LARGE($AP$48:$AP$51,2)</f>
        <v>4</v>
      </c>
      <c r="AE69" s="189">
        <f>LARGE($AP$57:$AP$60,2)</f>
        <v>6</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3</v>
      </c>
      <c r="AA70" s="189">
        <f>LARGE($AP$21:$AP$24,3)</f>
        <v>4</v>
      </c>
      <c r="AB70" s="189">
        <f>LARGE($AP$30:$AP$33,3)</f>
        <v>3</v>
      </c>
      <c r="AC70" s="189">
        <f>LARGE($AP$39:$AP$42,3)</f>
        <v>3</v>
      </c>
      <c r="AD70" s="189">
        <f>LARGE($AP$48:$AP$51,3)</f>
        <v>2</v>
      </c>
      <c r="AE70" s="189">
        <f>LARGE($AP$57:$AP$60,3)</f>
        <v>3</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0</v>
      </c>
      <c r="AC71" s="189">
        <f>LARGE($AP$39:$AP$42,4)</f>
        <v>0</v>
      </c>
      <c r="AD71" s="189">
        <f>LARGE($AP$48:$AP$51,4)</f>
        <v>1</v>
      </c>
      <c r="AE71" s="189">
        <f>LARGE($AP$57:$AP$60,4)</f>
        <v>0</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B3</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A4</v>
      </c>
      <c r="AA73" s="189" t="str">
        <f ca="1">IF(AA$67=6,IF(AA69=$AP$21,$AH$21,"")&amp;IF(AA69=$AP$22,$AH$22,"")&amp;IF(AA69=$AP$23,$AH$23,"")&amp;IF(AA69=$AP$24,$AH$24,""),"")</f>
        <v>B1</v>
      </c>
      <c r="AB73" s="189" t="str">
        <f ca="1">IF(AB$67=6,IF(AB69=$AP$30,$AH$30,"")&amp;IF(AB69=$AP$31,$AH$31,"")&amp;IF(AB69=$AP$32,$AH$32,"")&amp;IF(AB69=$AP$33,$AH$33,""),"")</f>
        <v>C3</v>
      </c>
      <c r="AC73" s="189" t="str">
        <f ca="1">IF(AC$67=6,IF(AC69=$AP$39,$AH$39,"")&amp;IF(AC69=$AP$40,$AH$40,"")&amp;IF(AC69=$AP$41,$AH$41,"")&amp;IF(AC69=$AP$42,$AH$42,""),"")</f>
        <v>D2</v>
      </c>
      <c r="AD73" s="189" t="str">
        <f ca="1">IF(AD$67,IF(AD69=$AP$48,$AH$48,"")&amp;IF(AD69=$AP$49,$AH$49,"")&amp;IF(AD69=$AP$50,$AH$50,"")&amp;IF(AD69=$AP$51,$AH$51,""),"")</f>
        <v>E3</v>
      </c>
      <c r="AE73" s="189" t="str">
        <f ca="1">IF(AE$67=6,IF(AE69=$AP$57,$AH$57,"")&amp;IF(AE69=$AP$58,$AH$58,"")&amp;IF(AE69=$AP$59,$AH$59,"")&amp;IF(AE69=$AP$60,$AH$60,""),"")</f>
        <v>F1</v>
      </c>
      <c r="AF73" s="189" t="str">
        <f>IF(AF$67=6,IF(AF69=$AP$66,$AH$66,"")&amp;IF(AF69=$AP$67,$AH$67,"")&amp;IF(AF69=$AP$68,$AH$68,"")&amp;IF(AF69=$AP$69,$AH$69,""),"")</f>
        <v/>
      </c>
      <c r="AG73" s="189" t="str">
        <f ca="1">IF(AG$67=6,IF(AG69=$AP$75,$AH$75,"")&amp;IF(AG69=$AP$76,$AH$76,"")&amp;IF(AG69=$AP$77,$AH$77,"")&amp;IF(AG69=$AP$78,$AH$78,""),"")</f>
        <v/>
      </c>
      <c r="AH73" s="1113"/>
      <c r="AI73" s="1111"/>
      <c r="AJ73" s="445" t="str">
        <f ca="1">N53</f>
        <v>Groep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v>
      </c>
      <c r="AA74" s="189" t="str">
        <f ca="1">IF(AA$67=6,IF(AA70=$AP$21,$AH$21,"")&amp;IF(AA70=$AP$22,$AH$22,"")&amp;IF(AA70=$AP$23,$AH$23,"")&amp;IF(AA70=$AP$24,$AH$24,""),"")</f>
        <v>B2</v>
      </c>
      <c r="AB74" s="189" t="str">
        <f ca="1">IF(AB$67=6,IF(AB70=$AP$30,$AH$30,"")&amp;IF(AB70=$AP$31,$AH$31,"")&amp;IF(AB70=$AP$32,$AH$32,"")&amp;IF(AB70=$AP$33,$AH$33,""),"")</f>
        <v>C2</v>
      </c>
      <c r="AC74" s="189" t="str">
        <f ca="1">IF(AC$67=6,IF(AC70=$AP$39,$AH$39,"")&amp;IF(AC70=$AP$40,$AH$40,"")&amp;IF(AC70=$AP$41,$AH$41,"")&amp;IF(AC70=$AP$42,$AH$42,""),"")</f>
        <v>D1</v>
      </c>
      <c r="AD74" s="189" t="str">
        <f ca="1">IF(AD$67,IF(AD70=$AP$48,$AH$48,"")&amp;IF(AD70=$AP$49,$AH$49,"")&amp;IF(AD70=$AP$50,$AH$50,"")&amp;IF(AD70=$AP$51,$AH$51,""),"")</f>
        <v>E2</v>
      </c>
      <c r="AE74" s="189" t="str">
        <f ca="1">IF(AE$67=6,IF(AE70=$AP$57,$AH$57,"")&amp;IF(AE70=$AP$58,$AH$58,"")&amp;IF(AE70=$AP$59,$AH$59,"")&amp;IF(AE70=$AP$60,$AH$60,""),"")</f>
        <v>F4</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A3</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D3</v>
      </c>
      <c r="AD75" s="189" t="str">
        <f ca="1">IF(AD$67,IF(AD71=$AP$48,$AH$48,"")&amp;IF(AD71=$AP$49,$AH$49,"")&amp;IF(AD71=$AP$50,$AH$50,"")&amp;IF(AD71=$AP$51,$AH$51,""),"")</f>
        <v>E4</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Italië</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Zwitserland</v>
      </c>
      <c r="AA77" s="478" t="str">
        <f ca="1">IF(LEN(AA73)&gt;=2,VLOOKUP(LEFT(AA73,2),Voorblad!$X$67:$Y$98,2),"")&amp;IF(LEN(AA73)&gt;=4," / "&amp;VLOOKUP(RIGHT(LEFT(AA73,4),2),Voorblad!$X$67:$Y$98,2),"")&amp;IF(LEN(AA73)&gt;=6," / "&amp;VLOOKUP(RIGHT(LEFT(AA73,6),2),Voorblad!$X$67:$Y$98,2),"")&amp;IF(LEN(AA73)&gt;=8," / "&amp;VLOOKUP(RIGHT(LEFT(AA73,8),2),Voorblad!$X$67:$Y$98,2),"")</f>
        <v>Spanje</v>
      </c>
      <c r="AB77" s="478" t="str">
        <f ca="1">IF(LEN(AB73)&gt;=2,VLOOKUP(LEFT(AB73,2),Voorblad!$X$67:$Y$98,2),"")&amp;IF(LEN(AB73)&gt;=4," / "&amp;VLOOKUP(RIGHT(LEFT(AB73,4),2),Voorblad!$X$67:$Y$98,2),"")&amp;IF(LEN(AB73)&gt;=6," / "&amp;VLOOKUP(RIGHT(LEFT(AB73,6),2),Voorblad!$X$67:$Y$98,2),"")&amp;IF(LEN(AB73)&gt;=8," / "&amp;VLOOKUP(RIGHT(LEFT(AB73,8),2),Voorblad!$X$67:$Y$98,2),"")</f>
        <v>Servië</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Roemenië</v>
      </c>
      <c r="AE77" s="478" t="str">
        <f ca="1">IF(LEN(AE73)&gt;=2,VLOOKUP(LEFT(AE73,2),Voorblad!$X$67:$Y$98,2),"")&amp;IF(LEN(AE73)&gt;=4," / "&amp;VLOOKUP(RIGHT(LEFT(AE73,4),2),Voorblad!$X$67:$Y$98,2),"")&amp;IF(LEN(AE73)&gt;=6," / "&amp;VLOOKUP(RIGHT(LEFT(AE73,6),2),Voorblad!$X$67:$Y$98,2),"")&amp;IF(LEN(AE73)&gt;=8," / "&amp;VLOOKUP(RIGHT(LEFT(AE73,8),2),Voorblad!$X$67:$Y$98,2),"")</f>
        <v>Turkije</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Denemarken</v>
      </c>
      <c r="AC78" s="478" t="str">
        <f ca="1">IF(LEN(AC74)&gt;=2,VLOOKUP(LEFT(AC74,2),Voorblad!$X$67:$Y$98,2),"")&amp;IF(LEN(AC74)&gt;=4," / "&amp;VLOOKUP(RIGHT(LEFT(AC74,4),2),Voorblad!$X$67:$Y$98,2),"")&amp;IF(LEN(AC74)&gt;=6," / "&amp;VLOOKUP(RIGHT(LEFT(AC74,6),2),Voorblad!$X$67:$Y$98,2),"")&amp;IF(LEN(AC74)&gt;=8," / "&amp;VLOOKUP(RIGHT(LEFT(AC74,8),2),Voorblad!$X$67:$Y$98,2),"")</f>
        <v>Polen</v>
      </c>
      <c r="AD78" s="478" t="str">
        <f ca="1">IF(LEN(AD74)&gt;=2,VLOOKUP(LEFT(AD74,2),Voorblad!$X$67:$Y$98,2),"")&amp;IF(LEN(AD74)&gt;=4," / "&amp;VLOOKUP(RIGHT(LEFT(AD74,4),2),Voorblad!$X$67:$Y$98,2),"")&amp;IF(LEN(AD74)&gt;=6," / "&amp;VLOOKUP(RIGHT(LEFT(AD74,6),2),Voorblad!$X$67:$Y$98,2),"")&amp;IF(LEN(AD74)&gt;=8," / "&amp;VLOOKUP(RIGHT(LEFT(AD74,8),2),Voorblad!$X$67:$Y$98,2),"")</f>
        <v>Slowakije</v>
      </c>
      <c r="AE78" s="478" t="str">
        <f ca="1">IF(LEN(AE74)&gt;=2,VLOOKUP(LEFT(AE74,2),Voorblad!$X$67:$Y$98,2),"")&amp;IF(LEN(AE74)&gt;=4," / "&amp;VLOOKUP(RIGHT(LEFT(AE74,4),2),Voorblad!$X$67:$Y$98,2),"")&amp;IF(LEN(AE74)&gt;=6," / "&amp;VLOOKUP(RIGHT(LEFT(AE74,6),2),Voorblad!$X$67:$Y$98,2),"")&amp;IF(LEN(AE74)&gt;=8," / "&amp;VLOOKUP(RIGHT(LEFT(AE74,8),2),Voorblad!$X$67:$Y$98,2),"")</f>
        <v>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Oostenrijk</v>
      </c>
      <c r="AD79" s="478" t="str">
        <f ca="1">IF(LEN(AD75)&gt;=2,VLOOKUP(LEFT(AD75,2),Voorblad!$X$67:$Y$98,2),"")&amp;IF(LEN(AD75)&gt;=4," / "&amp;VLOOKUP(RIGHT(LEFT(AD75,4),2),Voorblad!$X$67:$Y$98,2),"")&amp;IF(LEN(AD75)&gt;=6," / "&amp;VLOOKUP(RIGHT(LEFT(AD75,6),2),Voorblad!$X$67:$Y$98,2),"")&amp;IF(LEN(AD75)&gt;=8," / "&amp;VLOOKUP(RIGHT(LEFT(AD75,8),2),Voorblad!$X$67:$Y$98,2),"")</f>
        <v>Oekraïne</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johan@jamilo.nl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15</v>
      </c>
      <c r="AB87" s="198"/>
      <c r="AC87" s="513">
        <f>IF(AC86="GOED",SEARCH("@",$AA$84),"nvt")</f>
        <v>6</v>
      </c>
      <c r="AD87" s="513" t="str">
        <f>IF(AC87="nvt","nvt",RIGHT(AA84,LEN(AA84)-AC87))</f>
        <v>jamilo.nl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46" t="str">
        <f>"|"&amp;AA84&amp;AA87</f>
        <v>|johan@jamilo.nl15</v>
      </c>
      <c r="AB88" s="1147"/>
      <c r="AC88" s="1147"/>
      <c r="AD88" s="1147"/>
      <c r="AE88" s="1148"/>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A4</v>
      </c>
      <c r="Z5" s="834" t="str">
        <f ca="1">IF(AND(Z18&lt;&gt;1,Z19="GOED"),LOOKUP(Z18,S21:S24,V21:V24),"")</f>
        <v>B1</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C3</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D1E2F4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B3</v>
      </c>
      <c r="Z8" s="834" t="str">
        <f ca="1">IF(AND(Y20&lt;&gt;1,Y21="GOED"),LOOKUP(Y20,S16:S19,V16:V19),"")&amp;IF(AND(Z30&lt;&gt;1,Z31="GOED"),LOOKUP(Z30,S31:S34,V31:V34),"")&amp;IF(AND(Y40&lt;&gt;1,Y41="GOED"),LOOKUP(Y40,S36:S39,V36:V39),"")&amp;IF(AND(Z40&lt;&gt;1,Z41="GOED"),LOOKUP(Z40,S41:S44,V41:V44),"")</f>
        <v>A2D1E2F4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Om u op weg te helpen kan op basis van voorgaande voorspellingen, mits volledig ingevuld, u een suggestie gegeven worden. U bent niet verplicht deze suggestie op te volgen.</v>
      </c>
      <c r="H9" s="1189"/>
      <c r="I9" s="1189"/>
      <c r="J9" s="1189"/>
      <c r="K9" s="1189"/>
      <c r="L9" s="1189"/>
      <c r="M9" s="1189"/>
      <c r="N9" s="1189"/>
      <c r="O9" s="1189"/>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E3</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EINDSTAND IN DE GROEP OP BASIS VAN EERDERE VOORSPELLINGEN</v>
      </c>
      <c r="AM9" s="1179"/>
      <c r="AN9" s="1180"/>
      <c r="AO9" s="1167" t="str">
        <f ca="1">Taal04!$B$59</f>
        <v>Punten</v>
      </c>
      <c r="AP9" s="1167" t="str">
        <f ca="1">Taal04!$B$60</f>
        <v>Doelpunten voor</v>
      </c>
      <c r="AQ9" s="1167" t="str">
        <f ca="1">Taal04!$B$61</f>
        <v>Doelpunten tegen</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A2B2C2</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A2B2C2D1</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Groep A</v>
      </c>
      <c r="E14" s="1152"/>
      <c r="F14" s="17"/>
      <c r="G14" s="715"/>
      <c r="H14" s="715"/>
      <c r="I14" s="715"/>
      <c r="J14" s="715"/>
      <c r="K14" s="1152" t="str">
        <f ca="1">Taal04!$B$26&amp;" B"</f>
        <v>Groep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DE.CH.SC.HU|</v>
      </c>
      <c r="Z15" s="162" t="str">
        <f ca="1">IF(AND(TYPE(Z16)=1,TYPE(Z18)=1,TYPE(Z20)=1,TYPE(Z22)=1),IF(AND(Z17="GOED",Z19="GOED",Z21="GOED",Z23="GOED"),LOOKUP(Z16,S21:S24,U21:U24)&amp;"."&amp;LOOKUP(Z18,S21:S24,U21:U24)&amp;"."&amp;LOOKUP(Z20,S21:S24,U21:U24)&amp;"."&amp;LOOKUP(Z22,S21:S24,U21:U24)&amp;"|","FOUT"),"ONGELDIG")</f>
        <v>IT.ES.HR.AL|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2193</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4</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6</v>
      </c>
      <c r="AH16" s="143">
        <f ca="1">IF($AC$7=1,VLOOKUP($V16,Groepswedstrijden!$AH$12:$BA$78,11,FALSE),IF($AC$11=1,VLOOKUP($V16,#REF!,11,FALSE),""))</f>
        <v>1</v>
      </c>
      <c r="AI16" s="219">
        <f ca="1">IF($AC$7=1,VLOOKUP($V16,Groepswedstrijden!$AH$12:$BA$78,19,FALSE),IF($AC$11=1,VLOOKUP($V16,#REF!,19,FALSE),""))</f>
        <v>95050603500001</v>
      </c>
      <c r="AJ16" s="224">
        <f ca="1">FLOOR(IF($AD16=1,AI16,IF($AD17=1,AI17,IF($AD18=1,AI18,AI19)))/10,1)</f>
        <v>9505060350000</v>
      </c>
      <c r="AL16" s="1173" t="str">
        <f ca="1">AE15</f>
        <v>GROEP A</v>
      </c>
      <c r="AM16" s="336" t="s">
        <v>67</v>
      </c>
      <c r="AN16" s="337" t="str">
        <f ca="1">IF($AD16=1,AE16,IF($AD17=1,AE17,IF($AD18=1,AE18,AE19)))</f>
        <v>Duitsland</v>
      </c>
      <c r="AO16" s="338">
        <f ca="1">IF($AD16=1,AF16,IF($AD17=1,AF17,IF($AD18=1,AF18,AF19)))</f>
        <v>9</v>
      </c>
      <c r="AP16" s="338">
        <f ca="1">IF($AD16=1,AG16,IF($AD17=1,AG17,IF($AD18=1,AG18,AG19)))</f>
        <v>6</v>
      </c>
      <c r="AQ16" s="338">
        <f ca="1">IF($AD16=1,AH16,IF($AD17=1,AH17,IF($AD18=1,AH18,AH19)))</f>
        <v>1</v>
      </c>
    </row>
    <row r="17" spans="2:43" s="166" customFormat="1" ht="20.100000000000001" customHeight="1" x14ac:dyDescent="0.25">
      <c r="B17" s="17"/>
      <c r="C17" s="949"/>
      <c r="D17" s="1151" t="str">
        <f ca="1">IF($S$12=1,IF($AC$7=1,AB16,IF($AC$11=1,AC16,"")),IF(AND($S$12=2,OR($Y$17="LEEG",$Y$17="ONGELDIG")),IF($AC$7=1,AB16,IF($AC$11=1,AC16,"")),""))</f>
        <v>Duitsland</v>
      </c>
      <c r="E17" s="1151"/>
      <c r="F17" s="1151"/>
      <c r="G17" s="1151"/>
      <c r="H17" s="1151"/>
      <c r="I17" s="1151"/>
      <c r="J17" s="17"/>
      <c r="K17" s="1151" t="str">
        <f ca="1">IF($S$12=1,IF($AC$7=1,AB21,IF($AC$11=1,AC21,"")),IF(AND($S$12=2,OR($Z$17="LEEG",$Z$17="ONGELDIG")),IF($AC$7=1,AB21,IF($AC$11=1,AC21,"")),""))</f>
        <v>Italië</v>
      </c>
      <c r="L17" s="1151"/>
      <c r="M17" s="1151"/>
      <c r="N17" s="1151"/>
      <c r="O17" s="1151"/>
      <c r="P17" s="1151"/>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Zwitserland</v>
      </c>
      <c r="AC17" s="64" t="e">
        <f>#REF!</f>
        <v>#REF!</v>
      </c>
      <c r="AD17" s="143">
        <f ca="1">IF($AC$7=1,VLOOKUP($V17,Groepswedstrijden!$AH$12:$BA$78,20,FALSE),IF($AC$11=1,VLOOKUP($V17,#REF!,20,FALSE),""))</f>
        <v>3</v>
      </c>
      <c r="AE17" s="186" t="str">
        <f ca="1">IF($AC$7=1,VLOOKUP($V17,Groepswedstrijden!$AH$12:$BA$78,3,FALSE),IF($AC$11=1,VLOOKUP($V17,#REF!,3,FALSE),""))</f>
        <v>Schotland</v>
      </c>
      <c r="AF17" s="143">
        <f ca="1">IF($AC$7=1,VLOOKUP($V17,Groepswedstrijden!$AH$12:$BA$78,9,FALSE),IF($AC$11=1,VLOOKUP($V17,#REF!,9,FALSE),""))</f>
        <v>3</v>
      </c>
      <c r="AG17" s="143">
        <f ca="1">IF($AC$7=1,VLOOKUP($V17,Groepswedstrijden!$AH$12:$BA$78,10,FALSE),IF($AC$11=1,VLOOKUP($V17,#REF!,10,FALSE),""))</f>
        <v>2</v>
      </c>
      <c r="AH17" s="143">
        <f ca="1">IF($AC$7=1,VLOOKUP($V17,Groepswedstrijden!$AH$12:$BA$78,11,FALSE),IF($AC$11=1,VLOOKUP($V17,#REF!,11,FALSE),""))</f>
        <v>4</v>
      </c>
      <c r="AI17" s="219">
        <f ca="1">IF($AC$7=1,VLOOKUP($V17,Groepswedstrijden!$AH$12:$BA$78,19,FALSE),IF($AC$11=1,VLOOKUP($V17,#REF!,19,FALSE),""))</f>
        <v>34980203500003</v>
      </c>
      <c r="AJ17" s="224">
        <f ca="1">FLOOR(IF($AD16=2,AI16,IF($AD17=2,AI17,IF($AD18=2,AI18,AI19)))/10,1)</f>
        <v>6501040350000</v>
      </c>
      <c r="AL17" s="1174"/>
      <c r="AM17" s="339" t="str">
        <f ca="1">IF(AJ17=AJ16,"","2.")</f>
        <v>2.</v>
      </c>
      <c r="AN17" s="340" t="str">
        <f ca="1">IF($AD16=2,AE16,IF($AD17=2,AE17,IF($AD18=2,AE18,AE19)))</f>
        <v>Zwitserland</v>
      </c>
      <c r="AO17" s="341">
        <f ca="1">IF($AD16=2,AF16,IF($AD17=2,AF17,IF($AD18=2,AF18,AF19)))</f>
        <v>6</v>
      </c>
      <c r="AP17" s="341">
        <f ca="1">IF($AD16=2,AG16,IF($AD17=2,AG17,IF($AD18=2,AG18,AG19)))</f>
        <v>4</v>
      </c>
      <c r="AQ17" s="341">
        <f ca="1">IF($AD16=2,AH16,IF($AD17=2,AH17,IF($AD18=2,AH18,AH19)))</f>
        <v>3</v>
      </c>
    </row>
    <row r="18" spans="2:43" s="166" customFormat="1" ht="15" customHeight="1" x14ac:dyDescent="0.25">
      <c r="B18" s="17"/>
      <c r="C18" s="949"/>
      <c r="D18" s="335" t="s">
        <v>213</v>
      </c>
      <c r="E18" s="820" t="s">
        <v>851</v>
      </c>
      <c r="F18" s="587" t="str">
        <f>IF(Y19="LEEG","▼","")</f>
        <v/>
      </c>
      <c r="G18" s="17"/>
      <c r="H18" s="17"/>
      <c r="I18" s="17"/>
      <c r="J18" s="17"/>
      <c r="K18" s="335" t="s">
        <v>213</v>
      </c>
      <c r="L18" s="821" t="s">
        <v>856</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2</v>
      </c>
      <c r="AA18" s="263" t="str">
        <f ca="1">RIGHT(V18,1)</f>
        <v>3</v>
      </c>
      <c r="AB18" s="265" t="str">
        <f ca="1">Groepswedstrijden!Z78</f>
        <v>Schotland</v>
      </c>
      <c r="AC18" s="64" t="e">
        <f>#REF!</f>
        <v>#REF!</v>
      </c>
      <c r="AD18" s="143">
        <f ca="1">IF($AC$7=1,VLOOKUP($V18,Groepswedstrijden!$AH$12:$BA$78,20,FALSE),IF($AC$11=1,VLOOKUP($V18,#REF!,20,FALSE),""))</f>
        <v>4</v>
      </c>
      <c r="AE18" s="186" t="str">
        <f ca="1">IF($AC$7=1,VLOOKUP($V18,Groepswedstrijden!$AH$12:$BA$78,3,FALSE),IF($AC$11=1,VLOOKUP($V18,#REF!,3,FALSE),""))</f>
        <v>Hongarije</v>
      </c>
      <c r="AF18" s="143">
        <f ca="1">IF($AC$7=1,VLOOKUP($V18,Groepswedstrijden!$AH$12:$BA$78,9,FALSE),IF($AC$11=1,VLOOKUP($V18,#REF!,9,FALSE),""))</f>
        <v>0</v>
      </c>
      <c r="AG18" s="143">
        <f ca="1">IF($AC$7=1,VLOOKUP($V18,Groepswedstrijden!$AH$12:$BA$78,10,FALSE),IF($AC$11=1,VLOOKUP($V18,#REF!,10,FALSE),""))</f>
        <v>2</v>
      </c>
      <c r="AH18" s="143">
        <f ca="1">IF($AC$7=1,VLOOKUP($V18,Groepswedstrijden!$AH$12:$BA$78,11,FALSE),IF($AC$11=1,VLOOKUP($V18,#REF!,11,FALSE),""))</f>
        <v>6</v>
      </c>
      <c r="AI18" s="219">
        <f ca="1">IF($AC$7=1,VLOOKUP($V18,Groepswedstrijden!$AH$12:$BA$78,19,FALSE),IF($AC$11=1,VLOOKUP($V18,#REF!,19,FALSE),""))</f>
        <v>4960203500002</v>
      </c>
      <c r="AJ18" s="224">
        <f ca="1">FLOOR(IF($AD16=3,AI16,IF($AD17=3,AI17,IF($AD18=3,AI18,AI19)))/10,1)</f>
        <v>3498020350000</v>
      </c>
      <c r="AL18" s="1174"/>
      <c r="AM18" s="339" t="str">
        <f ca="1">IF(AJ18=AJ17,"","3.")</f>
        <v>3.</v>
      </c>
      <c r="AN18" s="340" t="str">
        <f ca="1">IF($AD16=3,AE16,IF($AD17=3,AE17,IF($AD18=3,AE18,AE19)))</f>
        <v>Schotland</v>
      </c>
      <c r="AO18" s="341">
        <f ca="1">IF($AD16=3,AF16,IF($AD17=3,AF17,IF($AD18=3,AF18,AF19)))</f>
        <v>3</v>
      </c>
      <c r="AP18" s="341">
        <f ca="1">IF($AD16=3,AG16,IF($AD17=3,AG17,IF($AD18=3,AG18,AG19)))</f>
        <v>2</v>
      </c>
      <c r="AQ18" s="341">
        <f ca="1">IF($AD16=3,AH16,IF($AD17=3,AH17,IF($AD18=3,AH18,AH19)))</f>
        <v>4</v>
      </c>
    </row>
    <row r="19" spans="2:43" s="166" customFormat="1" ht="20.100000000000001" customHeight="1" x14ac:dyDescent="0.25">
      <c r="B19" s="17"/>
      <c r="C19" s="949"/>
      <c r="D19" s="1151" t="str">
        <f ca="1">IF($S$12=1,IF($AC$7=1,AB17,IF($AC$11=1,AC17,"")),IF(AND($S$12=2,OR($Y$19="LEEG",$Y$19="ONGELDIG")),IF($AC$7=1,AB17,IF($AC$11=1,AC17,"")),""))</f>
        <v>Zwitserland</v>
      </c>
      <c r="E19" s="1151"/>
      <c r="F19" s="1151"/>
      <c r="G19" s="1151"/>
      <c r="H19" s="1151"/>
      <c r="I19" s="1151"/>
      <c r="J19" s="17"/>
      <c r="K19" s="1151" t="str">
        <f ca="1">IF($S$12=1,IF($AC$7=1,AB22,IF($AC$11=1,AC22,"")),IF(AND($S$12=2,OR($Z$19="LEEG",$Z$19="ONGELDIG")),IF($AC$7=1,AB22,IF($AC$11=1,AC22,"")),""))</f>
        <v>Spanje</v>
      </c>
      <c r="L19" s="1151"/>
      <c r="M19" s="1151"/>
      <c r="N19" s="1151"/>
      <c r="O19" s="1151"/>
      <c r="P19" s="1151"/>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Hongarije</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6</v>
      </c>
      <c r="AG19" s="143">
        <f ca="1">IF($AC$7=1,VLOOKUP($V19,Groepswedstrijden!$AH$12:$BA$78,10,FALSE),IF($AC$11=1,VLOOKUP($V19,#REF!,10,FALSE),""))</f>
        <v>4</v>
      </c>
      <c r="AH19" s="143">
        <f ca="1">IF($AC$7=1,VLOOKUP($V19,Groepswedstrijden!$AH$12:$BA$78,11,FALSE),IF($AC$11=1,VLOOKUP($V19,#REF!,11,FALSE),""))</f>
        <v>3</v>
      </c>
      <c r="AI19" s="219">
        <f ca="1">IF($AC$7=1,VLOOKUP($V19,Groepswedstrijden!$AH$12:$BA$78,19,FALSE),IF($AC$11=1,VLOOKUP($V19,#REF!,19,FALSE),""))</f>
        <v>65010403500004</v>
      </c>
      <c r="AJ19" s="224">
        <f ca="1">FLOOR(IF($AD16=4,AI16,IF($AD17=4,AI17,IF($AD18=4,AI18,AI19)))/10,1)</f>
        <v>496020350000</v>
      </c>
      <c r="AL19" s="1175"/>
      <c r="AM19" s="342" t="str">
        <f ca="1">IF(AJ19=AJ18,"","4.")</f>
        <v>4.</v>
      </c>
      <c r="AN19" s="343" t="str">
        <f ca="1">IF($AD16=4,AE16,IF($AD17=4,AE17,IF($AD18=4,AE18,AE19)))</f>
        <v>Hongarije</v>
      </c>
      <c r="AO19" s="344">
        <f ca="1">IF($AD16=4,AF16,IF($AD17=4,AF17,IF($AD18=4,AF18,AF19)))</f>
        <v>0</v>
      </c>
      <c r="AP19" s="344">
        <f ca="1">IF($AD16=4,AG16,IF($AD17=4,AG17,IF($AD18=4,AG18,AG19)))</f>
        <v>2</v>
      </c>
      <c r="AQ19" s="344">
        <f ca="1">IF($AD16=4,AH16,IF($AD17=4,AH17,IF($AD18=4,AH18,AH19)))</f>
        <v>6</v>
      </c>
    </row>
    <row r="20" spans="2:43" ht="15" customHeight="1" x14ac:dyDescent="0.25">
      <c r="B20" s="17"/>
      <c r="C20" s="949"/>
      <c r="D20" s="335" t="s">
        <v>214</v>
      </c>
      <c r="E20" s="820" t="s">
        <v>2189</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3</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Schotland</v>
      </c>
      <c r="E21" s="1151"/>
      <c r="F21" s="1151"/>
      <c r="G21" s="1151"/>
      <c r="H21" s="1151"/>
      <c r="I21" s="1151"/>
      <c r="J21" s="17"/>
      <c r="K21" s="1151" t="str">
        <f ca="1">IF($S$12=1,IF($AC$7=1,AB23,IF($AC$11=1,AC23,"")),IF(AND($S$12=2,OR($Z$21="LEEG",$Z$21="ONGELDIG")),IF($AC$7=1,AB23,IF($AC$11=1,AC23,"")),""))</f>
        <v>Kroatië</v>
      </c>
      <c r="L21" s="1151"/>
      <c r="M21" s="1151"/>
      <c r="N21" s="1151"/>
      <c r="O21" s="1151"/>
      <c r="P21" s="1151"/>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Italië</v>
      </c>
      <c r="AC21" s="64" t="e">
        <f>#REF!</f>
        <v>#REF!</v>
      </c>
      <c r="AD21" s="143">
        <f ca="1">IF($AC$7=1,VLOOKUP($V21,Groepswedstrijden!$AH$12:$BA$78,20,FALSE),IF($AC$11=1,VLOOKUP($V21,#REF!,20,FALSE),""))</f>
        <v>2</v>
      </c>
      <c r="AE21" s="186" t="str">
        <f ca="1">IF($AC$7=1,VLOOKUP($V21,Groepswedstrijden!$AH$12:$BA$78,3,FALSE),IF($AC$11=1,VLOOKUP($V21,#REF!,3,FALSE),""))</f>
        <v>Spanje</v>
      </c>
      <c r="AF21" s="143">
        <f ca="1">IF($AC$7=1,VLOOKUP($V21,Groepswedstrijden!$AH$12:$BA$78,9,FALSE),IF($AC$11=1,VLOOKUP($V21,#REF!,9,FALSE),""))</f>
        <v>5</v>
      </c>
      <c r="AG21" s="143">
        <f ca="1">IF($AC$7=1,VLOOKUP($V21,Groepswedstrijden!$AH$12:$BA$78,10,FALSE),IF($AC$11=1,VLOOKUP($V21,#REF!,10,FALSE),""))</f>
        <v>5</v>
      </c>
      <c r="AH21" s="143">
        <f ca="1">IF($AC$7=1,VLOOKUP($V21,Groepswedstrijden!$AH$12:$BA$78,11,FALSE),IF($AC$11=1,VLOOKUP($V21,#REF!,11,FALSE),""))</f>
        <v>2</v>
      </c>
      <c r="AI21" s="219">
        <f ca="1">IF($AC$7=1,VLOOKUP($V21,Groepswedstrijden!$AH$12:$BA$78,19,FALSE),IF($AC$11=1,VLOOKUP($V21,#REF!,19,FALSE),""))</f>
        <v>55030503500004</v>
      </c>
      <c r="AJ21" s="224">
        <f ca="1">FLOOR(IF($AD21=1,AI21,IF($AD22=1,AI22,IF($AD23=1,AI23,AI24)))/10,1)</f>
        <v>7503050350000</v>
      </c>
      <c r="AL21" s="1173" t="str">
        <f ca="1">AE20</f>
        <v>GROEP B</v>
      </c>
      <c r="AM21" s="336" t="s">
        <v>67</v>
      </c>
      <c r="AN21" s="337" t="str">
        <f ca="1">IF($AD21=1,AE21,IF($AD22=1,AE22,IF($AD23=1,AE23,AE24)))</f>
        <v>Italië</v>
      </c>
      <c r="AO21" s="338">
        <f ca="1">IF($AD21=1,AF21,IF($AD22=1,AF22,IF($AD23=1,AF23,AF24)))</f>
        <v>7</v>
      </c>
      <c r="AP21" s="338">
        <f ca="1">IF($AD21=1,AG21,IF($AD22=1,AG22,IF($AD23=1,AG23,AG24)))</f>
        <v>5</v>
      </c>
      <c r="AQ21" s="338">
        <f ca="1">IF($AD21=1,AH21,IF($AD22=1,AH22,IF($AD23=1,AH23,AH24)))</f>
        <v>2</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Spanje</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4</v>
      </c>
      <c r="AG22" s="143">
        <f ca="1">IF($AC$7=1,VLOOKUP($V22,Groepswedstrijden!$AH$12:$BA$78,10,FALSE),IF($AC$11=1,VLOOKUP($V22,#REF!,10,FALSE),""))</f>
        <v>4</v>
      </c>
      <c r="AH22" s="143">
        <f ca="1">IF($AC$7=1,VLOOKUP($V22,Groepswedstrijden!$AH$12:$BA$78,11,FALSE),IF($AC$11=1,VLOOKUP($V22,#REF!,11,FALSE),""))</f>
        <v>3</v>
      </c>
      <c r="AI22" s="219">
        <f ca="1">IF($AC$7=1,VLOOKUP($V22,Groepswedstrijden!$AH$12:$BA$78,19,FALSE),IF($AC$11=1,VLOOKUP($V22,#REF!,19,FALSE),""))</f>
        <v>45010403500003</v>
      </c>
      <c r="AJ22" s="224">
        <f ca="1">FLOOR(IF($AD21=2,AI21,IF($AD22=2,AI22,IF($AD23=2,AI23,AI24)))/10,1)</f>
        <v>5503050350000</v>
      </c>
      <c r="AL22" s="1174"/>
      <c r="AM22" s="339" t="str">
        <f ca="1">IF(AJ22=AJ21,"","2.")</f>
        <v>2.</v>
      </c>
      <c r="AN22" s="340" t="str">
        <f ca="1">IF($AD21=2,AE21,IF($AD22=2,AE22,IF($AD23=2,AE23,AE24)))</f>
        <v>Spanje</v>
      </c>
      <c r="AO22" s="341">
        <f ca="1">IF($AD21=2,AF21,IF($AD22=2,AF22,IF($AD23=2,AF23,AF24)))</f>
        <v>5</v>
      </c>
      <c r="AP22" s="341">
        <f ca="1">IF($AD21=2,AG21,IF($AD22=2,AG22,IF($AD23=2,AG23,AG24)))</f>
        <v>5</v>
      </c>
      <c r="AQ22" s="341">
        <f ca="1">IF($AD21=2,AH21,IF($AD22=2,AH22,IF($AD23=2,AH23,AH24)))</f>
        <v>2</v>
      </c>
    </row>
    <row r="23" spans="2:43" ht="20.100000000000001" customHeight="1" x14ac:dyDescent="0.25">
      <c r="B23" s="17"/>
      <c r="C23" s="949"/>
      <c r="D23" s="1151" t="str">
        <f ca="1">IF($S$12=1,IF($AC$7=1,AB19,IF($AC$11=1,AC19,"")),IF(AND($S$12=2,OR($Y$23="LEEG",$Y$23="ONGELDIG")),IF($AC$7=1,AB19,IF($AC$11=1,AC19,"")),""))</f>
        <v>Hongarije</v>
      </c>
      <c r="E23" s="1151"/>
      <c r="F23" s="1151"/>
      <c r="G23" s="1151"/>
      <c r="H23" s="1151"/>
      <c r="I23" s="1151"/>
      <c r="J23" s="17"/>
      <c r="K23" s="1151" t="str">
        <f ca="1">IF($S$12=1,IF($AC$7=1,AB24,IF($AC$11=1,AC24,"")),IF(AND($S$12=2,OR($Z$23="LEEG",$Z$23="ONGELDIG")),IF($AC$7=1,AB24,IF($AC$11=1,AC24,"")),""))</f>
        <v>Albanië</v>
      </c>
      <c r="L23" s="1151"/>
      <c r="M23" s="1151"/>
      <c r="N23" s="1151"/>
      <c r="O23" s="1151"/>
      <c r="P23" s="1151"/>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1</v>
      </c>
      <c r="AE23" s="186" t="str">
        <f ca="1">IF($AC$7=1,VLOOKUP($V23,Groepswedstrijden!$AH$12:$BA$78,3,FALSE),IF($AC$11=1,VLOOKUP($V23,#REF!,3,FALSE),""))</f>
        <v>Italië</v>
      </c>
      <c r="AF23" s="143">
        <f ca="1">IF($AC$7=1,VLOOKUP($V23,Groepswedstrijden!$AH$12:$BA$78,9,FALSE),IF($AC$11=1,VLOOKUP($V23,#REF!,9,FALSE),""))</f>
        <v>7</v>
      </c>
      <c r="AG23" s="143">
        <f ca="1">IF($AC$7=1,VLOOKUP($V23,Groepswedstrijden!$AH$12:$BA$78,10,FALSE),IF($AC$11=1,VLOOKUP($V23,#REF!,10,FALSE),""))</f>
        <v>5</v>
      </c>
      <c r="AH23" s="143">
        <f ca="1">IF($AC$7=1,VLOOKUP($V23,Groepswedstrijden!$AH$12:$BA$78,11,FALSE),IF($AC$11=1,VLOOKUP($V23,#REF!,11,FALSE),""))</f>
        <v>2</v>
      </c>
      <c r="AI23" s="219">
        <f ca="1">IF($AC$7=1,VLOOKUP($V23,Groepswedstrijden!$AH$12:$BA$78,19,FALSE),IF($AC$11=1,VLOOKUP($V23,#REF!,19,FALSE),""))</f>
        <v>75030503500002</v>
      </c>
      <c r="AJ23" s="224">
        <f ca="1">FLOOR(IF($AD21=3,AI21,IF($AD22=3,AI22,IF($AD23=3,AI23,AI24)))/10,1)</f>
        <v>4501040350000</v>
      </c>
      <c r="AL23" s="1174"/>
      <c r="AM23" s="339" t="str">
        <f ca="1">IF(AJ23=AJ22,"","3.")</f>
        <v>3.</v>
      </c>
      <c r="AN23" s="340" t="str">
        <f ca="1">IF($AD21=3,AE21,IF($AD22=3,AE22,IF($AD23=3,AE23,AE24)))</f>
        <v>Kroatië</v>
      </c>
      <c r="AO23" s="341">
        <f ca="1">IF($AD21=3,AF21,IF($AD22=3,AF22,IF($AD23=3,AF23,AF24)))</f>
        <v>4</v>
      </c>
      <c r="AP23" s="341">
        <f ca="1">IF($AD21=3,AG21,IF($AD22=3,AG22,IF($AD23=3,AG23,AG24)))</f>
        <v>4</v>
      </c>
      <c r="AQ23" s="341">
        <f ca="1">IF($AD21=3,AH21,IF($AD22=3,AH22,IF($AD23=3,AH23,AH24)))</f>
        <v>3</v>
      </c>
    </row>
    <row r="24" spans="2:43" ht="15" customHeight="1" x14ac:dyDescent="0.25">
      <c r="B24" s="17"/>
      <c r="C24" s="949"/>
      <c r="D24" s="1152" t="str">
        <f ca="1">Taal04!$B$26&amp;" C"</f>
        <v>Groep C</v>
      </c>
      <c r="E24" s="1152"/>
      <c r="F24" s="17"/>
      <c r="G24" s="17"/>
      <c r="H24" s="17"/>
      <c r="I24" s="17"/>
      <c r="J24" s="17"/>
      <c r="K24" s="1152" t="str">
        <f ca="1">Taal04!$B$26&amp;" D"</f>
        <v>Groep D</v>
      </c>
      <c r="L24" s="1152"/>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7</v>
      </c>
      <c r="AI24" s="219">
        <f ca="1">IF($AC$7=1,VLOOKUP($V24,Groepswedstrijden!$AH$12:$BA$78,19,FALSE),IF($AC$11=1,VLOOKUP($V24,#REF!,19,FALSE),""))</f>
        <v>4930003500001</v>
      </c>
      <c r="AJ24" s="224">
        <f ca="1">FLOOR(IF($AD21=4,AI21,IF($AD22=4,AI22,IF($AD23=4,AI23,AI24)))/10,1)</f>
        <v>493000350000</v>
      </c>
      <c r="AL24" s="1175"/>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7</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GB.RS.DK.SI|</v>
      </c>
      <c r="Z25" s="162" t="str">
        <f ca="1">IF(AND(TYPE(Z26)=1,TYPE(Z28)=1,TYPE(Z30)=1,TYPE(Z32)=1),IF(AND(Z27="GOED",Z29="GOED",Z31="GOED",Z33="GOED"),LOOKUP(Z26,S31:S34,U31:U34)&amp;"."&amp;LOOKUP(Z28,S31:S34,U31:U34)&amp;"."&amp;LOOKUP(Z30,S31:S34,U31:U34)&amp;"."&amp;LOOKUP(Z32,S31:S34,U31:U34)&amp;"|","FOUT"),"ONGELDIG")</f>
        <v>FR.NL.PL.AT|</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0</v>
      </c>
      <c r="AG26" s="143">
        <f ca="1">IF($AC$7=1,VLOOKUP($V26,Groepswedstrijden!$AH$12:$BA$78,10,FALSE),IF($AC$11=1,VLOOKUP($V26,#REF!,10,FALSE),""))</f>
        <v>1</v>
      </c>
      <c r="AH26" s="143">
        <f ca="1">IF($AC$7=1,VLOOKUP($V26,Groepswedstrijden!$AH$12:$BA$78,11,FALSE),IF($AC$11=1,VLOOKUP($V26,#REF!,11,FALSE),""))</f>
        <v>5</v>
      </c>
      <c r="AI26" s="219">
        <f ca="1">IF($AC$7=1,VLOOKUP($V26,Groepswedstrijden!$AH$12:$BA$78,19,FALSE),IF($AC$11=1,VLOOKUP($V26,#REF!,19,FALSE),""))</f>
        <v>4960103500004</v>
      </c>
      <c r="AJ26" s="224">
        <f ca="1">FLOOR(IF($AD26=1,AI26,IF($AD27=1,AI27,IF($AD28=1,AI28,AI29)))/10,1)</f>
        <v>9504060350000</v>
      </c>
      <c r="AL26" s="1173" t="str">
        <f ca="1">AE25</f>
        <v>GROEP C</v>
      </c>
      <c r="AM26" s="336" t="s">
        <v>67</v>
      </c>
      <c r="AN26" s="337" t="str">
        <f ca="1">IF($AD26=1,AE26,IF($AD27=1,AE27,IF($AD28=1,AE28,AE29)))</f>
        <v>Engeland</v>
      </c>
      <c r="AO26" s="338">
        <f ca="1">IF($AD26=1,AF26,IF($AD27=1,AF27,IF($AD28=1,AF28,AF29)))</f>
        <v>9</v>
      </c>
      <c r="AP26" s="338">
        <f ca="1">IF($AD26=1,AG26,IF($AD27=1,AG27,IF($AD28=1,AG28,AG29)))</f>
        <v>6</v>
      </c>
      <c r="AQ26" s="338">
        <f ca="1">IF($AD26=1,AH26,IF($AD27=1,AH27,IF($AD28=1,AH28,AH29)))</f>
        <v>2</v>
      </c>
    </row>
    <row r="27" spans="2:43" ht="20.100000000000001" customHeight="1" x14ac:dyDescent="0.25">
      <c r="B27" s="17"/>
      <c r="C27" s="949"/>
      <c r="D27" s="1151" t="str">
        <f ca="1">IF($S$12=1,IF($AC$7=1,AB26,IF($AC$11=1,AC26,"")),IF(AND($S$12=2,OR($Y$27="LEEG",$Y$27="ONGELDIG")),IF($AC$7=1,AB26,IF($AC$11=1,AC26,"")),""))</f>
        <v>Engeland</v>
      </c>
      <c r="E27" s="1151"/>
      <c r="F27" s="1151"/>
      <c r="G27" s="1151"/>
      <c r="H27" s="1151"/>
      <c r="I27" s="1151"/>
      <c r="J27" s="17"/>
      <c r="K27" s="1151" t="str">
        <f ca="1">IF($S$12=1,IF($AC$7=1,AB31,IF($AC$11=1,AC31,"")),IF(AND($S$12=2,OR($Z$27="LEEG",$Z$27="ONGELDIG")),IF($AC$7=1,AB31,IF($AC$11=1,AC31,"")),""))</f>
        <v>Frankrijk</v>
      </c>
      <c r="L27" s="1151"/>
      <c r="M27" s="1151"/>
      <c r="N27" s="1151"/>
      <c r="O27" s="1151"/>
      <c r="P27" s="1151"/>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Servië</v>
      </c>
      <c r="AC27" s="64" t="e">
        <f>#REF!</f>
        <v>#REF!</v>
      </c>
      <c r="AD27" s="143">
        <f ca="1">IF($AC$7=1,VLOOKUP($V27,Groepswedstrijden!$AH$12:$BA$78,20,FALSE),IF($AC$11=1,VLOOKUP($V27,#REF!,20,FALSE),""))</f>
        <v>3</v>
      </c>
      <c r="AE27" s="186" t="str">
        <f ca="1">IF($AC$7=1,VLOOKUP($V27,Groepswedstrijden!$AH$12:$BA$78,3,FALSE),IF($AC$11=1,VLOOKUP($V27,#REF!,3,FALSE),""))</f>
        <v>Denemarken</v>
      </c>
      <c r="AF27" s="143">
        <f ca="1">IF($AC$7=1,VLOOKUP($V27,Groepswedstrijden!$AH$12:$BA$78,9,FALSE),IF($AC$11=1,VLOOKUP($V27,#REF!,9,FALSE),""))</f>
        <v>3</v>
      </c>
      <c r="AG27" s="143">
        <f ca="1">IF($AC$7=1,VLOOKUP($V27,Groepswedstrijden!$AH$12:$BA$78,10,FALSE),IF($AC$11=1,VLOOKUP($V27,#REF!,10,FALSE),""))</f>
        <v>3</v>
      </c>
      <c r="AH27" s="143">
        <f ca="1">IF($AC$7=1,VLOOKUP($V27,Groepswedstrijden!$AH$12:$BA$78,11,FALSE),IF($AC$11=1,VLOOKUP($V27,#REF!,11,FALSE),""))</f>
        <v>4</v>
      </c>
      <c r="AI27" s="219">
        <f ca="1">IF($AC$7=1,VLOOKUP($V27,Groepswedstrijden!$AH$12:$BA$78,19,FALSE),IF($AC$11=1,VLOOKUP($V27,#REF!,19,FALSE),""))</f>
        <v>34990303500001</v>
      </c>
      <c r="AJ27" s="224">
        <f ca="1">FLOOR(IF($AD26=2,AI26,IF($AD27=2,AI27,IF($AD28=2,AI28,AI29)))/10,1)</f>
        <v>6501050350000</v>
      </c>
      <c r="AL27" s="1174"/>
      <c r="AM27" s="339" t="str">
        <f ca="1">IF(AJ27=AJ26,"","2.")</f>
        <v>2.</v>
      </c>
      <c r="AN27" s="340" t="str">
        <f ca="1">IF($AD26=2,AE26,IF($AD27=2,AE27,IF($AD28=2,AE28,AE29)))</f>
        <v>Servië</v>
      </c>
      <c r="AO27" s="341">
        <f ca="1">IF($AD26=2,AF26,IF($AD27=2,AF27,IF($AD28=2,AF28,AF29)))</f>
        <v>6</v>
      </c>
      <c r="AP27" s="341">
        <f ca="1">IF($AD26=2,AG26,IF($AD27=2,AG27,IF($AD28=2,AG28,AG29)))</f>
        <v>5</v>
      </c>
      <c r="AQ27" s="341">
        <f ca="1">IF($AD26=2,AH26,IF($AD27=2,AH27,IF($AD28=2,AH28,AH29)))</f>
        <v>4</v>
      </c>
    </row>
    <row r="28" spans="2:43" ht="15" customHeight="1" x14ac:dyDescent="0.25">
      <c r="B28" s="17"/>
      <c r="C28" s="949"/>
      <c r="D28" s="335" t="s">
        <v>213</v>
      </c>
      <c r="E28" s="820" t="s">
        <v>1853</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4</v>
      </c>
      <c r="Z28" s="144">
        <f>IF(ISBLANK(L28),1,IF(SUBSTITUTE(W31,L28,"#")&lt;&gt;W31,2,IF(SUBSTITUTE(W32,L28,"#")&lt;&gt;W32,3,IF(SUBSTITUTE(W33,L28,"#")&lt;&gt;W33,4,IF(SUBSTITUTE(W34,L28,"#")&lt;&gt;W34,5,6)))))</f>
        <v>3</v>
      </c>
      <c r="AA28" s="263" t="str">
        <f ca="1">RIGHT(V28,1)</f>
        <v>3</v>
      </c>
      <c r="AB28" s="265" t="str">
        <f ca="1">Groepswedstrijden!AB78</f>
        <v>Denemarken</v>
      </c>
      <c r="AC28" s="64" t="e">
        <f>#REF!</f>
        <v>#REF!</v>
      </c>
      <c r="AD28" s="143">
        <f ca="1">IF($AC$7=1,VLOOKUP($V28,Groepswedstrijden!$AH$12:$BA$78,20,FALSE),IF($AC$11=1,VLOOKUP($V28,#REF!,20,FALSE),""))</f>
        <v>2</v>
      </c>
      <c r="AE28" s="186" t="str">
        <f ca="1">IF($AC$7=1,VLOOKUP($V28,Groepswedstrijden!$AH$12:$BA$78,3,FALSE),IF($AC$11=1,VLOOKUP($V28,#REF!,3,FALSE),""))</f>
        <v>Servië</v>
      </c>
      <c r="AF28" s="143">
        <f ca="1">IF($AC$7=1,VLOOKUP($V28,Groepswedstrijden!$AH$12:$BA$78,9,FALSE),IF($AC$11=1,VLOOKUP($V28,#REF!,9,FALSE),""))</f>
        <v>6</v>
      </c>
      <c r="AG28" s="143">
        <f ca="1">IF($AC$7=1,VLOOKUP($V28,Groepswedstrijden!$AH$12:$BA$78,10,FALSE),IF($AC$11=1,VLOOKUP($V28,#REF!,10,FALSE),""))</f>
        <v>5</v>
      </c>
      <c r="AH28" s="143">
        <f ca="1">IF($AC$7=1,VLOOKUP($V28,Groepswedstrijden!$AH$12:$BA$78,11,FALSE),IF($AC$11=1,VLOOKUP($V28,#REF!,11,FALSE),""))</f>
        <v>4</v>
      </c>
      <c r="AI28" s="219">
        <f ca="1">IF($AC$7=1,VLOOKUP($V28,Groepswedstrijden!$AH$12:$BA$78,19,FALSE),IF($AC$11=1,VLOOKUP($V28,#REF!,19,FALSE),""))</f>
        <v>65010503500003</v>
      </c>
      <c r="AJ28" s="224">
        <f ca="1">FLOOR(IF($AD26=3,AI26,IF($AD27=3,AI27,IF($AD28=3,AI28,AI29)))/10,1)</f>
        <v>3499030350000</v>
      </c>
      <c r="AL28" s="1174"/>
      <c r="AM28" s="339" t="str">
        <f ca="1">IF(AJ28=AJ27,"","3.")</f>
        <v>3.</v>
      </c>
      <c r="AN28" s="340" t="str">
        <f ca="1">IF($AD26=3,AE26,IF($AD27=3,AE27,IF($AD28=3,AE28,AE29)))</f>
        <v>Denemarken</v>
      </c>
      <c r="AO28" s="341">
        <f ca="1">IF($AD26=3,AF26,IF($AD27=3,AF27,IF($AD28=3,AF28,AF29)))</f>
        <v>3</v>
      </c>
      <c r="AP28" s="341">
        <f ca="1">IF($AD26=3,AG26,IF($AD27=3,AG27,IF($AD28=3,AG28,AG29)))</f>
        <v>3</v>
      </c>
      <c r="AQ28" s="341">
        <f ca="1">IF($AD26=3,AH26,IF($AD27=3,AH27,IF($AD28=3,AH28,AH29)))</f>
        <v>4</v>
      </c>
    </row>
    <row r="29" spans="2:43" ht="20.100000000000001" customHeight="1" x14ac:dyDescent="0.25">
      <c r="B29" s="17"/>
      <c r="C29" s="949"/>
      <c r="D29" s="1151" t="str">
        <f ca="1">IF($S$12=1,IF($AC$7=1,AB27,IF($AC$11=1,AC27,"")),IF(AND($S$12=2,OR($Y$29="LEEG",$Y$29="ONGELDIG")),IF($AC$7=1,AB27,IF($AC$11=1,AC27,"")),""))</f>
        <v>Servië</v>
      </c>
      <c r="E29" s="1151"/>
      <c r="F29" s="1151"/>
      <c r="G29" s="1151"/>
      <c r="H29" s="1151"/>
      <c r="I29" s="1151"/>
      <c r="J29" s="17"/>
      <c r="K29" s="1151" t="str">
        <f ca="1">IF($S$12=1,IF($AC$7=1,AB32,IF($AC$11=1,AC32,"")),IF(AND($S$12=2,OR($Z$29="LEEG",$Z$29="ONGELDIG")),IF($AC$7=1,AB32,IF($AC$11=1,AC32,"")),""))</f>
        <v>Nederland</v>
      </c>
      <c r="L29" s="1151"/>
      <c r="M29" s="1151"/>
      <c r="N29" s="1151"/>
      <c r="O29" s="1151"/>
      <c r="P29" s="1151"/>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6</v>
      </c>
      <c r="AH29" s="143">
        <f ca="1">IF($AC$7=1,VLOOKUP($V29,Groepswedstrijden!$AH$12:$BA$78,11,FALSE),IF($AC$11=1,VLOOKUP($V29,#REF!,11,FALSE),""))</f>
        <v>2</v>
      </c>
      <c r="AI29" s="219">
        <f ca="1">IF($AC$7=1,VLOOKUP($V29,Groepswedstrijden!$AH$12:$BA$78,19,FALSE),IF($AC$11=1,VLOOKUP($V29,#REF!,19,FALSE),""))</f>
        <v>95040603500002</v>
      </c>
      <c r="AJ29" s="224">
        <f ca="1">FLOOR(IF($AD26=4,AI26,IF($AD27=4,AI27,IF($AD28=4,AI28,AI29)))/10,1)</f>
        <v>496010350000</v>
      </c>
      <c r="AL29" s="1175"/>
      <c r="AM29" s="342" t="str">
        <f ca="1">IF(AJ29=AJ28,"","4.")</f>
        <v>4.</v>
      </c>
      <c r="AN29" s="343" t="str">
        <f ca="1">IF($AD26=4,AE26,IF($AD27=4,AE27,IF($AD28=4,AE28,AE29)))</f>
        <v>Slovenië</v>
      </c>
      <c r="AO29" s="344">
        <f ca="1">IF($AD26=4,AF26,IF($AD27=4,AF27,IF($AD28=4,AF28,AF29)))</f>
        <v>0</v>
      </c>
      <c r="AP29" s="344">
        <f ca="1">IF($AD26=4,AG26,IF($AD27=4,AG27,IF($AD28=4,AG28,AG29)))</f>
        <v>1</v>
      </c>
      <c r="AQ29" s="344">
        <f ca="1">IF($AD26=4,AH26,IF($AD27=4,AH27,IF($AD28=4,AH28,AH29)))</f>
        <v>5</v>
      </c>
    </row>
    <row r="30" spans="2:43" ht="15" customHeight="1" x14ac:dyDescent="0.25">
      <c r="B30" s="17"/>
      <c r="C30" s="949"/>
      <c r="D30" s="335" t="s">
        <v>214</v>
      </c>
      <c r="E30" s="820" t="s">
        <v>852</v>
      </c>
      <c r="F30" s="587" t="str">
        <f>IF(Y31="LEEG","▼","")</f>
        <v/>
      </c>
      <c r="G30" s="17"/>
      <c r="H30" s="17"/>
      <c r="I30" s="17"/>
      <c r="J30" s="17"/>
      <c r="K30" s="335" t="s">
        <v>214</v>
      </c>
      <c r="L30" s="821" t="s">
        <v>2466</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3</v>
      </c>
      <c r="Z30" s="144">
        <f>IF(ISBLANK(L30),1,IF(SUBSTITUTE(W31,L30,"#")&lt;&gt;W31,2,IF(SUBSTITUTE(W32,L30,"#")&lt;&gt;W32,3,IF(SUBSTITUTE(W33,L30,"#")&lt;&gt;W33,4,IF(SUBSTITUTE(W34,L30,"#")&lt;&gt;W34,5,6)))))</f>
        <v>2</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Denemarken</v>
      </c>
      <c r="E31" s="1151"/>
      <c r="F31" s="1151"/>
      <c r="G31" s="1151"/>
      <c r="H31" s="1151"/>
      <c r="I31" s="1151"/>
      <c r="J31" s="17"/>
      <c r="K31" s="1151" t="str">
        <f ca="1">IF($S$12=1,IF($AC$7=1,AB33,IF($AC$11=1,AC33,"")),IF(AND($S$12=2,OR($Z$31="LEEG",$Z$31="ONGELDIG")),IF($AC$7=1,AB33,IF($AC$11=1,AC33,"")),""))</f>
        <v>Polen</v>
      </c>
      <c r="L31" s="1151"/>
      <c r="M31" s="1151"/>
      <c r="N31" s="1151"/>
      <c r="O31" s="1151"/>
      <c r="P31" s="1151"/>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3</v>
      </c>
      <c r="AG31" s="143">
        <f ca="1">IF($AC$7=1,VLOOKUP($V31,Groepswedstrijden!$AH$12:$BA$78,10,FALSE),IF($AC$11=1,VLOOKUP($V31,#REF!,10,FALSE),""))</f>
        <v>4</v>
      </c>
      <c r="AH31" s="143">
        <f ca="1">IF($AC$7=1,VLOOKUP($V31,Groepswedstrijden!$AH$12:$BA$78,11,FALSE),IF($AC$11=1,VLOOKUP($V31,#REF!,11,FALSE),""))</f>
        <v>5</v>
      </c>
      <c r="AI31" s="219">
        <f ca="1">IF($AC$7=1,VLOOKUP($V31,Groepswedstrijden!$AH$12:$BA$78,19,FALSE),IF($AC$11=1,VLOOKUP($V31,#REF!,19,FALSE),""))</f>
        <v>34990403500004</v>
      </c>
      <c r="AJ31" s="224">
        <f ca="1">FLOOR(IF($AD31=1,AI31,IF($AD32=1,AI32,IF($AD33=1,AI33,AI34)))/10,1)</f>
        <v>9504060350000</v>
      </c>
      <c r="AL31" s="1173" t="str">
        <f ca="1">AE30</f>
        <v>GROEP D</v>
      </c>
      <c r="AM31" s="336" t="s">
        <v>67</v>
      </c>
      <c r="AN31" s="337" t="str">
        <f ca="1">IF($AD31=1,AE31,IF($AD32=1,AE32,IF($AD33=1,AE33,AE34)))</f>
        <v>Frankrijk</v>
      </c>
      <c r="AO31" s="338">
        <f ca="1">IF($AD31=1,AF31,IF($AD32=1,AF32,IF($AD33=1,AF33,AF34)))</f>
        <v>9</v>
      </c>
      <c r="AP31" s="338">
        <f ca="1">IF($AD31=1,AG31,IF($AD32=1,AG32,IF($AD33=1,AG33,AG34)))</f>
        <v>6</v>
      </c>
      <c r="AQ31" s="338">
        <f ca="1">IF($AD31=1,AH31,IF($AD32=1,AH32,IF($AD33=1,AH33,AH34)))</f>
        <v>2</v>
      </c>
    </row>
    <row r="32" spans="2:43" ht="15" customHeight="1" x14ac:dyDescent="0.25">
      <c r="B32" s="17"/>
      <c r="C32" s="949"/>
      <c r="D32" s="335" t="s">
        <v>215</v>
      </c>
      <c r="E32" s="820" t="s">
        <v>2197</v>
      </c>
      <c r="F32" s="587" t="str">
        <f>IF(Y33="LEEG","▼","")</f>
        <v/>
      </c>
      <c r="G32" s="17"/>
      <c r="H32" s="17"/>
      <c r="I32" s="17"/>
      <c r="J32" s="17"/>
      <c r="K32" s="335" t="s">
        <v>215</v>
      </c>
      <c r="L32" s="821" t="s">
        <v>2232</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4</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6</v>
      </c>
      <c r="AH32" s="143">
        <f ca="1">IF($AC$7=1,VLOOKUP($V32,Groepswedstrijden!$AH$12:$BA$78,11,FALSE),IF($AC$11=1,VLOOKUP($V32,#REF!,11,FALSE),""))</f>
        <v>3</v>
      </c>
      <c r="AI32" s="219">
        <f ca="1">IF($AC$7=1,VLOOKUP($V32,Groepswedstrijden!$AH$12:$BA$78,19,FALSE),IF($AC$11=1,VLOOKUP($V32,#REF!,19,FALSE),""))</f>
        <v>65030603500002</v>
      </c>
      <c r="AJ32" s="224">
        <f ca="1">FLOOR(IF($AD31=2,AI31,IF($AD32=2,AI32,IF($AD33=2,AI33,AI34)))/10,1)</f>
        <v>6503060350000</v>
      </c>
      <c r="AL32" s="1174"/>
      <c r="AM32" s="339" t="str">
        <f ca="1">IF(AJ32=AJ31,"","2.")</f>
        <v>2.</v>
      </c>
      <c r="AN32" s="340" t="str">
        <f ca="1">IF($AD31=2,AE31,IF($AD32=2,AE32,IF($AD33=2,AE33,AE34)))</f>
        <v>Nederland</v>
      </c>
      <c r="AO32" s="341">
        <f ca="1">IF($AD31=2,AF31,IF($AD32=2,AF32,IF($AD33=2,AF33,AF34)))</f>
        <v>6</v>
      </c>
      <c r="AP32" s="341">
        <f ca="1">IF($AD31=2,AG31,IF($AD32=2,AG32,IF($AD33=2,AG33,AG34)))</f>
        <v>6</v>
      </c>
      <c r="AQ32" s="341">
        <f ca="1">IF($AD31=2,AH31,IF($AD32=2,AH32,IF($AD33=2,AH33,AH34)))</f>
        <v>3</v>
      </c>
    </row>
    <row r="33" spans="1:43" ht="20.100000000000001" customHeight="1" x14ac:dyDescent="0.25">
      <c r="B33" s="17"/>
      <c r="C33" s="949"/>
      <c r="D33" s="1151" t="str">
        <f ca="1">IF($S$12=1,IF($AC$7=1,AB29,IF($AC$11=1,AC29,"")),IF(AND($S$12=2,OR($Y$33="LEEG",$Y$33="ONGELDIG")),IF($AC$7=1,AB29,IF($AC$11=1,AC29,"")),""))</f>
        <v>Slovenië</v>
      </c>
      <c r="E33" s="1151"/>
      <c r="F33" s="1151"/>
      <c r="G33" s="1151"/>
      <c r="H33" s="1151"/>
      <c r="I33" s="1151"/>
      <c r="J33" s="17"/>
      <c r="K33" s="1151" t="str">
        <f ca="1">IF($S$12=1,IF($AC$7=1,AB34,IF($AC$11=1,AC34,"")),IF(AND($S$12=2,OR($Z$33="LEEG",$Z$33="ONGELDIG")),IF($AC$7=1,AB34,IF($AC$11=1,AC34,"")),""))</f>
        <v>Oostenrijk</v>
      </c>
      <c r="L33" s="1151"/>
      <c r="M33" s="1151"/>
      <c r="N33" s="1151"/>
      <c r="O33" s="1151"/>
      <c r="P33" s="1151"/>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0</v>
      </c>
      <c r="AG33" s="143">
        <f ca="1">IF($AC$7=1,VLOOKUP($V33,Groepswedstrijden!$AH$12:$BA$78,10,FALSE),IF($AC$11=1,VLOOKUP($V33,#REF!,10,FALSE),""))</f>
        <v>1</v>
      </c>
      <c r="AH33" s="143">
        <f ca="1">IF($AC$7=1,VLOOKUP($V33,Groepswedstrijden!$AH$12:$BA$78,11,FALSE),IF($AC$11=1,VLOOKUP($V33,#REF!,11,FALSE),""))</f>
        <v>7</v>
      </c>
      <c r="AI33" s="219">
        <f ca="1">IF($AC$7=1,VLOOKUP($V33,Groepswedstrijden!$AH$12:$BA$78,19,FALSE),IF($AC$11=1,VLOOKUP($V33,#REF!,19,FALSE),""))</f>
        <v>4940103500003</v>
      </c>
      <c r="AJ33" s="224">
        <f ca="1">FLOOR(IF($AD31=3,AI31,IF($AD32=3,AI32,IF($AD33=3,AI33,AI34)))/10,1)</f>
        <v>3499040350000</v>
      </c>
      <c r="AL33" s="1174"/>
      <c r="AM33" s="339" t="str">
        <f ca="1">IF(AJ33=AJ32,"","3.")</f>
        <v>3.</v>
      </c>
      <c r="AN33" s="340" t="str">
        <f ca="1">IF($AD31=3,AE31,IF($AD32=3,AE32,IF($AD33=3,AE33,AE34)))</f>
        <v>Polen</v>
      </c>
      <c r="AO33" s="341">
        <f ca="1">IF($AD31=3,AF31,IF($AD32=3,AF32,IF($AD33=3,AF33,AF34)))</f>
        <v>3</v>
      </c>
      <c r="AP33" s="341">
        <f ca="1">IF($AD31=3,AG31,IF($AD32=3,AG32,IF($AD33=3,AG33,AG34)))</f>
        <v>4</v>
      </c>
      <c r="AQ33" s="341">
        <f ca="1">IF($AD31=3,AH31,IF($AD32=3,AH32,IF($AD33=3,AH33,AH34)))</f>
        <v>5</v>
      </c>
    </row>
    <row r="34" spans="1:43" ht="15" customHeight="1" x14ac:dyDescent="0.25">
      <c r="B34" s="17"/>
      <c r="C34" s="949"/>
      <c r="D34" s="1152" t="str">
        <f ca="1">Taal04!$B$26&amp;" E"</f>
        <v>Groep E</v>
      </c>
      <c r="E34" s="1152"/>
      <c r="F34" s="17"/>
      <c r="G34" s="17"/>
      <c r="H34" s="17"/>
      <c r="I34" s="17"/>
      <c r="J34" s="17"/>
      <c r="K34" s="1152" t="str">
        <f ca="1">Taal04!$B$26&amp;" F"</f>
        <v>Groep F</v>
      </c>
      <c r="L34" s="1152"/>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6</v>
      </c>
      <c r="AH34" s="143">
        <f ca="1">IF($AC$7=1,VLOOKUP($V34,Groepswedstrijden!$AH$12:$BA$78,11,FALSE),IF($AC$11=1,VLOOKUP($V34,#REF!,11,FALSE),""))</f>
        <v>2</v>
      </c>
      <c r="AI34" s="219">
        <f ca="1">IF($AC$7=1,VLOOKUP($V34,Groepswedstrijden!$AH$12:$BA$78,19,FALSE),IF($AC$11=1,VLOOKUP($V34,#REF!,19,FALSE),""))</f>
        <v>95040603500001</v>
      </c>
      <c r="AJ34" s="224">
        <f ca="1">FLOOR(IF($AD31=4,AI31,IF($AD32=4,AI32,IF($AD33=4,AI33,AI34)))/10,1)</f>
        <v>494010350000</v>
      </c>
      <c r="AL34" s="1175"/>
      <c r="AM34" s="342" t="str">
        <f ca="1">IF(AJ34=AJ33,"","4.")</f>
        <v>4.</v>
      </c>
      <c r="AN34" s="343" t="str">
        <f ca="1">IF($AD31=4,AE31,IF($AD32=4,AE32,IF($AD33=4,AE33,AE34)))</f>
        <v>Oostenrijk</v>
      </c>
      <c r="AO34" s="344">
        <f ca="1">IF($AD31=4,AF31,IF($AD32=4,AF32,IF($AD33=4,AF33,AF34)))</f>
        <v>0</v>
      </c>
      <c r="AP34" s="344">
        <f ca="1">IF($AD31=4,AG31,IF($AD32=4,AG32,IF($AD33=4,AG33,AG34)))</f>
        <v>1</v>
      </c>
      <c r="AQ34" s="344">
        <f ca="1">IF($AD31=4,AH31,IF($AD32=4,AH32,IF($AD33=4,AH33,AH34)))</f>
        <v>7</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BE.RO.SK.UA|</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6</v>
      </c>
      <c r="AH36" s="143">
        <f ca="1">IF($AC$7=1,VLOOKUP($V36,Groepswedstrijden!$AH$12:$BA$78,11,FALSE),IF($AC$11=1,VLOOKUP($V36,#REF!,11,FALSE),""))</f>
        <v>0</v>
      </c>
      <c r="AI36" s="219">
        <f ca="1">IF($AC$7=1,VLOOKUP($V36,Groepswedstrijden!$AH$12:$BA$78,19,FALSE),IF($AC$11=1,VLOOKUP($V36,#REF!,19,FALSE),""))</f>
        <v>95060603500001</v>
      </c>
      <c r="AJ36" s="224">
        <f ca="1">FLOOR(IF($AD36=1,AI36,IF($AD37=1,AI37,IF($AD38=1,AI38,AI39)))/10,1)</f>
        <v>9506060350000</v>
      </c>
      <c r="AL36" s="1173" t="str">
        <f ca="1">AE35</f>
        <v>GROEP E</v>
      </c>
      <c r="AM36" s="336" t="s">
        <v>67</v>
      </c>
      <c r="AN36" s="337" t="str">
        <f ca="1">IF($AD36=1,AE36,IF($AD37=1,AE37,IF($AD38=1,AE38,AE39)))</f>
        <v>België</v>
      </c>
      <c r="AO36" s="338">
        <f ca="1">IF($AD36=1,AF36,IF($AD37=1,AF37,IF($AD38=1,AF38,AF39)))</f>
        <v>9</v>
      </c>
      <c r="AP36" s="338">
        <f ca="1">IF($AD36=1,AG36,IF($AD37=1,AG37,IF($AD38=1,AG38,AG39)))</f>
        <v>6</v>
      </c>
      <c r="AQ36" s="338">
        <f ca="1">IF($AD36=1,AH36,IF($AD37=1,AH37,IF($AD38=1,AH38,AH39)))</f>
        <v>0</v>
      </c>
    </row>
    <row r="37" spans="1:43" ht="20.100000000000001" customHeight="1" x14ac:dyDescent="0.25">
      <c r="B37" s="17"/>
      <c r="C37" s="949"/>
      <c r="D37" s="1151" t="str">
        <f ca="1">IF($S$12=1,IF($AC$7=1,AB36,IF($AC$11=1,AC36,"")),IF(AND($S$12=2,OR($Y$37="LEEG",$Y$37="ONGELDIG")),IF($AC$7=1,AB36,IF($AC$11=1,AC36,"")),""))</f>
        <v>België</v>
      </c>
      <c r="E37" s="1151"/>
      <c r="F37" s="1151"/>
      <c r="G37" s="1151"/>
      <c r="H37" s="1151"/>
      <c r="I37" s="1151"/>
      <c r="J37" s="17"/>
      <c r="K37" s="1151" t="str">
        <f ca="1">IF($S$12=1,IF($AC$7=1,AB41,IF($AC$11=1,AC41,"")),IF(AND($S$12=2,OR($Z$37="LEEG",$Z$37="ONGELDIG")),IF($AC$7=1,AB41,IF($AC$11=1,AC41,"")),""))</f>
        <v>Portugal</v>
      </c>
      <c r="L37" s="1151"/>
      <c r="M37" s="1151"/>
      <c r="N37" s="1151"/>
      <c r="O37" s="1151"/>
      <c r="P37" s="1151"/>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Roemenië</v>
      </c>
      <c r="AC37" s="64" t="e">
        <f>#REF!</f>
        <v>#REF!</v>
      </c>
      <c r="AD37" s="143">
        <f ca="1">IF($AC$7=1,VLOOKUP($V37,Groepswedstrijden!$AH$12:$BA$78,20,FALSE),IF($AC$11=1,VLOOKUP($V37,#REF!,20,FALSE),""))</f>
        <v>3</v>
      </c>
      <c r="AE37" s="186" t="str">
        <f ca="1">IF($AC$7=1,VLOOKUP($V37,Groepswedstrijden!$AH$12:$BA$78,3,FALSE),IF($AC$11=1,VLOOKUP($V37,#REF!,3,FALSE),""))</f>
        <v>Slowakije</v>
      </c>
      <c r="AF37" s="143">
        <f ca="1">IF($AC$7=1,VLOOKUP($V37,Groepswedstrijden!$AH$12:$BA$78,9,FALSE),IF($AC$11=1,VLOOKUP($V37,#REF!,9,FALSE),""))</f>
        <v>2</v>
      </c>
      <c r="AG37" s="143">
        <f ca="1">IF($AC$7=1,VLOOKUP($V37,Groepswedstrijden!$AH$12:$BA$78,10,FALSE),IF($AC$11=1,VLOOKUP($V37,#REF!,10,FALSE),""))</f>
        <v>2</v>
      </c>
      <c r="AH37" s="143">
        <f ca="1">IF($AC$7=1,VLOOKUP($V37,Groepswedstrijden!$AH$12:$BA$78,11,FALSE),IF($AC$11=1,VLOOKUP($V37,#REF!,11,FALSE),""))</f>
        <v>4</v>
      </c>
      <c r="AI37" s="219">
        <f ca="1">IF($AC$7=1,VLOOKUP($V37,Groepswedstrijden!$AH$12:$BA$78,19,FALSE),IF($AC$11=1,VLOOKUP($V37,#REF!,19,FALSE),""))</f>
        <v>24980203500004</v>
      </c>
      <c r="AJ37" s="224">
        <f ca="1">FLOOR(IF($AD36=2,AI36,IF($AD37=2,AI37,IF($AD38=2,AI38,AI39)))/10,1)</f>
        <v>4499030350000</v>
      </c>
      <c r="AL37" s="1174"/>
      <c r="AM37" s="339" t="str">
        <f ca="1">IF(AJ37=AJ36,"","2.")</f>
        <v>2.</v>
      </c>
      <c r="AN37" s="340" t="str">
        <f ca="1">IF($AD36=2,AE36,IF($AD37=2,AE37,IF($AD38=2,AE38,AE39)))</f>
        <v>Roemenië</v>
      </c>
      <c r="AO37" s="341">
        <f ca="1">IF($AD36=2,AF36,IF($AD37=2,AF37,IF($AD38=2,AF38,AF39)))</f>
        <v>4</v>
      </c>
      <c r="AP37" s="341">
        <f ca="1">IF($AD36=2,AG36,IF($AD37=2,AG37,IF($AD38=2,AG38,AG39)))</f>
        <v>3</v>
      </c>
      <c r="AQ37" s="341">
        <f ca="1">IF($AD36=2,AH36,IF($AD37=2,AH37,IF($AD38=2,AH38,AH39)))</f>
        <v>4</v>
      </c>
    </row>
    <row r="38" spans="1:43" ht="15" customHeight="1" x14ac:dyDescent="0.25">
      <c r="B38" s="17"/>
      <c r="C38" s="949"/>
      <c r="D38" s="335" t="s">
        <v>213</v>
      </c>
      <c r="E38" s="820" t="s">
        <v>2202</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4</v>
      </c>
      <c r="Z38" s="144">
        <f>IF(ISBLANK(L38),1,IF(SUBSTITUTE(W41,L38,"#")&lt;&gt;W41,2,IF(SUBSTITUTE(W42,L38,"#")&lt;&gt;W42,3,IF(SUBSTITUTE(W43,L38,"#")&lt;&gt;W43,4,IF(SUBSTITUTE(W44,L38,"#")&lt;&gt;W44,5,6)))))</f>
        <v>2</v>
      </c>
      <c r="AA38" s="263" t="str">
        <f ca="1">RIGHT(V38,1)</f>
        <v>3</v>
      </c>
      <c r="AB38" s="265" t="str">
        <f ca="1">Groepswedstrijden!AD78</f>
        <v>Slowakije</v>
      </c>
      <c r="AC38" s="64" t="e">
        <f>#REF!</f>
        <v>#REF!</v>
      </c>
      <c r="AD38" s="143">
        <f ca="1">IF($AC$7=1,VLOOKUP($V38,Groepswedstrijden!$AH$12:$BA$78,20,FALSE),IF($AC$11=1,VLOOKUP($V38,#REF!,20,FALSE),""))</f>
        <v>2</v>
      </c>
      <c r="AE38" s="186" t="str">
        <f ca="1">IF($AC$7=1,VLOOKUP($V38,Groepswedstrijden!$AH$12:$BA$78,3,FALSE),IF($AC$11=1,VLOOKUP($V38,#REF!,3,FALSE),""))</f>
        <v>Roemenië</v>
      </c>
      <c r="AF38" s="143">
        <f ca="1">IF($AC$7=1,VLOOKUP($V38,Groepswedstrijden!$AH$12:$BA$78,9,FALSE),IF($AC$11=1,VLOOKUP($V38,#REF!,9,FALSE),""))</f>
        <v>4</v>
      </c>
      <c r="AG38" s="143">
        <f ca="1">IF($AC$7=1,VLOOKUP($V38,Groepswedstrijden!$AH$12:$BA$78,10,FALSE),IF($AC$11=1,VLOOKUP($V38,#REF!,10,FALSE),""))</f>
        <v>3</v>
      </c>
      <c r="AH38" s="143">
        <f ca="1">IF($AC$7=1,VLOOKUP($V38,Groepswedstrijden!$AH$12:$BA$78,11,FALSE),IF($AC$11=1,VLOOKUP($V38,#REF!,11,FALSE),""))</f>
        <v>4</v>
      </c>
      <c r="AI38" s="219">
        <f ca="1">IF($AC$7=1,VLOOKUP($V38,Groepswedstrijden!$AH$12:$BA$78,19,FALSE),IF($AC$11=1,VLOOKUP($V38,#REF!,19,FALSE),""))</f>
        <v>44990303500003</v>
      </c>
      <c r="AJ38" s="224">
        <f ca="1">FLOOR(IF($AD36=3,AI36,IF($AD37=3,AI37,IF($AD38=3,AI38,AI39)))/10,1)</f>
        <v>2498020350000</v>
      </c>
      <c r="AL38" s="1174"/>
      <c r="AM38" s="339" t="str">
        <f ca="1">IF(AJ38=AJ37,"","3.")</f>
        <v>3.</v>
      </c>
      <c r="AN38" s="340" t="str">
        <f ca="1">IF($AD36=3,AE36,IF($AD37=3,AE37,IF($AD38=3,AE38,AE39)))</f>
        <v>Slowakije</v>
      </c>
      <c r="AO38" s="341">
        <f ca="1">IF($AD36=3,AF36,IF($AD37=3,AF37,IF($AD38=3,AF38,AF39)))</f>
        <v>2</v>
      </c>
      <c r="AP38" s="341">
        <f ca="1">IF($AD36=3,AG36,IF($AD37=3,AG37,IF($AD38=3,AG38,AG39)))</f>
        <v>2</v>
      </c>
      <c r="AQ38" s="341">
        <f ca="1">IF($AD36=3,AH36,IF($AD37=3,AH37,IF($AD38=3,AH38,AH39)))</f>
        <v>4</v>
      </c>
    </row>
    <row r="39" spans="1:43" ht="20.100000000000001" customHeight="1" x14ac:dyDescent="0.25">
      <c r="B39" s="17"/>
      <c r="C39" s="949"/>
      <c r="D39" s="1151" t="str">
        <f ca="1">IF($S$12=1,IF($AC$7=1,AB37,IF($AC$11=1,AC37,"")),IF(AND($S$12=2,OR($Y$39="LEEG",$Y$39="ONGELDIG")),IF($AC$7=1,AB37,IF($AC$11=1,AC37,"")),""))</f>
        <v>Roemenië</v>
      </c>
      <c r="E39" s="1151"/>
      <c r="F39" s="1151"/>
      <c r="G39" s="1151"/>
      <c r="H39" s="1151"/>
      <c r="I39" s="1151"/>
      <c r="J39" s="17"/>
      <c r="K39" s="1151" t="str">
        <f ca="1">IF($S$12=1,IF($AC$7=1,AB42,IF($AC$11=1,AC42,"")),IF(AND($S$12=2,OR($Z$39="LEEG",$Z$39="ONGELDIG")),IF($AC$7=1,AB42,IF($AC$11=1,AC42,"")),""))</f>
        <v>Turkije</v>
      </c>
      <c r="L39" s="1151"/>
      <c r="M39" s="1151"/>
      <c r="N39" s="1151"/>
      <c r="O39" s="1151"/>
      <c r="P39" s="1151"/>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Oekraïne</v>
      </c>
      <c r="AC39" s="64" t="e">
        <f>#REF!</f>
        <v>#REF!</v>
      </c>
      <c r="AD39" s="143">
        <f ca="1">IF($AC$7=1,VLOOKUP($V39,Groepswedstrijden!$AH$12:$BA$78,20,FALSE),IF($AC$11=1,VLOOKUP($V39,#REF!,20,FALSE),""))</f>
        <v>4</v>
      </c>
      <c r="AE39" s="186" t="str">
        <f ca="1">IF($AC$7=1,VLOOKUP($V39,Groepswedstrijden!$AH$12:$BA$78,3,FALSE),IF($AC$11=1,VLOOKUP($V39,#REF!,3,FALSE),""))</f>
        <v>Oekraïne</v>
      </c>
      <c r="AF39" s="143">
        <f ca="1">IF($AC$7=1,VLOOKUP($V39,Groepswedstrijden!$AH$12:$BA$78,9,FALSE),IF($AC$11=1,VLOOKUP($V39,#REF!,9,FALSE),""))</f>
        <v>1</v>
      </c>
      <c r="AG39" s="143">
        <f ca="1">IF($AC$7=1,VLOOKUP($V39,Groepswedstrijden!$AH$12:$BA$78,10,FALSE),IF($AC$11=1,VLOOKUP($V39,#REF!,10,FALSE),""))</f>
        <v>2</v>
      </c>
      <c r="AH39" s="143">
        <f ca="1">IF($AC$7=1,VLOOKUP($V39,Groepswedstrijden!$AH$12:$BA$78,11,FALSE),IF($AC$11=1,VLOOKUP($V39,#REF!,11,FALSE),""))</f>
        <v>5</v>
      </c>
      <c r="AI39" s="219">
        <f ca="1">IF($AC$7=1,VLOOKUP($V39,Groepswedstrijden!$AH$12:$BA$78,19,FALSE),IF($AC$11=1,VLOOKUP($V39,#REF!,19,FALSE),""))</f>
        <v>14970203500002</v>
      </c>
      <c r="AJ39" s="224">
        <f ca="1">FLOOR(IF($AD36=4,AI36,IF($AD37=4,AI37,IF($AD38=4,AI38,AI39)))/10,1)</f>
        <v>1497020350000</v>
      </c>
      <c r="AL39" s="1175"/>
      <c r="AM39" s="342" t="str">
        <f ca="1">IF(AJ39=AJ38,"","4.")</f>
        <v>4.</v>
      </c>
      <c r="AN39" s="343" t="str">
        <f ca="1">IF($AD36=4,AE36,IF($AD37=4,AE37,IF($AD38=4,AE38,AE39)))</f>
        <v>Oekraïne</v>
      </c>
      <c r="AO39" s="344">
        <f ca="1">IF($AD36=4,AF36,IF($AD37=4,AF37,IF($AD38=4,AF38,AF39)))</f>
        <v>1</v>
      </c>
      <c r="AP39" s="344">
        <f ca="1">IF($AD36=4,AG36,IF($AD37=4,AG37,IF($AD38=4,AG38,AG39)))</f>
        <v>2</v>
      </c>
      <c r="AQ39" s="344">
        <f ca="1">IF($AD36=4,AH36,IF($AD37=4,AH37,IF($AD38=4,AH38,AH39)))</f>
        <v>5</v>
      </c>
    </row>
    <row r="40" spans="1:43" ht="15" customHeight="1" x14ac:dyDescent="0.25">
      <c r="B40" s="17"/>
      <c r="C40" s="949"/>
      <c r="D40" s="335" t="s">
        <v>214</v>
      </c>
      <c r="E40" s="820" t="s">
        <v>2200</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3</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Slowakije</v>
      </c>
      <c r="E41" s="1151"/>
      <c r="F41" s="1151"/>
      <c r="G41" s="1151"/>
      <c r="H41" s="1151"/>
      <c r="I41" s="1151"/>
      <c r="J41" s="17"/>
      <c r="K41" s="1151" t="str">
        <f ca="1">IF($S$12=1,IF($AC$7=1,AB43,IF($AC$11=1,AC43,"")),IF(AND($S$12=2,OR($Z$41="LEEG",$Z$41="ONGELDIG")),IF($AC$7=1,AB43,IF($AC$11=1,AC43,"")),""))</f>
        <v>Tsjechië</v>
      </c>
      <c r="L41" s="1151"/>
      <c r="M41" s="1151"/>
      <c r="N41" s="1151"/>
      <c r="O41" s="1151"/>
      <c r="P41" s="1151"/>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6</v>
      </c>
      <c r="AG41" s="143">
        <f ca="1">IF($AC$7=1,VLOOKUP($V41,Groepswedstrijden!$AH$12:$BA$78,10,FALSE),IF($AC$11=1,VLOOKUP($V41,#REF!,10,FALSE),""))</f>
        <v>5</v>
      </c>
      <c r="AH41" s="143">
        <f ca="1">IF($AC$7=1,VLOOKUP($V41,Groepswedstrijden!$AH$12:$BA$78,11,FALSE),IF($AC$11=1,VLOOKUP($V41,#REF!,11,FALSE),""))</f>
        <v>4</v>
      </c>
      <c r="AI41" s="219">
        <f ca="1">IF($AC$7=1,VLOOKUP($V41,Groepswedstrijden!$AH$12:$BA$78,19,FALSE),IF($AC$11=1,VLOOKUP($V41,#REF!,19,FALSE),""))</f>
        <v>65010503500004</v>
      </c>
      <c r="AJ41" s="224">
        <f ca="1">FLOOR(IF($AD41=1,AI41,IF($AD42=1,AI42,IF($AD43=1,AI43,AI44)))/10,1)</f>
        <v>9504060350000</v>
      </c>
      <c r="AL41" s="1173" t="str">
        <f ca="1">AE40</f>
        <v>GROEP F</v>
      </c>
      <c r="AM41" s="336" t="s">
        <v>67</v>
      </c>
      <c r="AN41" s="337" t="str">
        <f ca="1">IF($AD41=1,AE41,IF($AD42=1,AE42,IF($AD43=1,AE43,AE44)))</f>
        <v>Portugal</v>
      </c>
      <c r="AO41" s="338">
        <f ca="1">IF($AD41=1,AF41,IF($AD42=1,AF42,IF($AD43=1,AF43,AF44)))</f>
        <v>9</v>
      </c>
      <c r="AP41" s="338">
        <f ca="1">IF($AD41=1,AG41,IF($AD42=1,AG42,IF($AD43=1,AG43,AG44)))</f>
        <v>6</v>
      </c>
      <c r="AQ41" s="338">
        <f ca="1">IF($AD41=1,AH41,IF($AD42=1,AH42,IF($AD43=1,AH43,AH44)))</f>
        <v>2</v>
      </c>
    </row>
    <row r="42" spans="1:43" ht="15" customHeight="1" x14ac:dyDescent="0.25">
      <c r="B42" s="17"/>
      <c r="C42" s="949"/>
      <c r="D42" s="335" t="s">
        <v>215</v>
      </c>
      <c r="E42" s="820" t="s">
        <v>2468</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5</v>
      </c>
      <c r="Z42" s="144">
        <f>IF(ISBLANK(L42),1,IF(SUBSTITUTE(W41,L42,"#")&lt;&gt;W41,2,IF(SUBSTITUTE(W42,L42,"#")&lt;&gt;W42,3,IF(SUBSTITUTE(W43,L42,"#")&lt;&gt;W43,4,IF(SUBSTITUTE(W44,L42,"#")&lt;&gt;W44,5,6)))))</f>
        <v>3</v>
      </c>
      <c r="AA42" s="263" t="str">
        <f ca="1">RIGHT(V42,1)</f>
        <v>2</v>
      </c>
      <c r="AB42" s="265" t="str">
        <f ca="1">Groepswedstrijden!AE77</f>
        <v>Turkije</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2</v>
      </c>
      <c r="AH42" s="143">
        <f ca="1">IF($AC$7=1,VLOOKUP($V42,Groepswedstrijden!$AH$12:$BA$78,11,FALSE),IF($AC$11=1,VLOOKUP($V42,#REF!,11,FALSE),""))</f>
        <v>5</v>
      </c>
      <c r="AI42" s="219">
        <f ca="1">IF($AC$7=1,VLOOKUP($V42,Groepswedstrijden!$AH$12:$BA$78,19,FALSE),IF($AC$11=1,VLOOKUP($V42,#REF!,19,FALSE),""))</f>
        <v>4970203500001</v>
      </c>
      <c r="AJ42" s="224">
        <f ca="1">FLOOR(IF($AD41=2,AI41,IF($AD42=2,AI42,IF($AD43=2,AI43,AI44)))/10,1)</f>
        <v>6501050350000</v>
      </c>
      <c r="AL42" s="1174"/>
      <c r="AM42" s="339" t="str">
        <f ca="1">IF(AJ42=AJ41,"","2.")</f>
        <v>2.</v>
      </c>
      <c r="AN42" s="340" t="str">
        <f ca="1">IF($AD41=2,AE41,IF($AD42=2,AE42,IF($AD43=2,AE43,AE44)))</f>
        <v>Turkije</v>
      </c>
      <c r="AO42" s="341">
        <f ca="1">IF($AD41=2,AF41,IF($AD42=2,AF42,IF($AD43=2,AF43,AF44)))</f>
        <v>6</v>
      </c>
      <c r="AP42" s="341">
        <f ca="1">IF($AD41=2,AG41,IF($AD42=2,AG42,IF($AD43=2,AG43,AG44)))</f>
        <v>5</v>
      </c>
      <c r="AQ42" s="341">
        <f ca="1">IF($AD41=2,AH41,IF($AD42=2,AH42,IF($AD43=2,AH43,AH44)))</f>
        <v>4</v>
      </c>
    </row>
    <row r="43" spans="1:43" ht="20.100000000000001" customHeight="1" x14ac:dyDescent="0.25">
      <c r="B43" s="17"/>
      <c r="C43" s="949"/>
      <c r="D43" s="1151" t="str">
        <f ca="1">IF($S$12=1,IF($AC$7=1,AB39,IF($AC$11=1,AC39,"")),IF(AND($S$12=2,OR($Y$43="LEEG",$Y$43="ONGELDIG")),IF($AC$7=1,AB39,IF($AC$11=1,AC39,"")),""))</f>
        <v>Oekraïne</v>
      </c>
      <c r="E43" s="1151"/>
      <c r="F43" s="1151"/>
      <c r="G43" s="1151"/>
      <c r="H43" s="1151"/>
      <c r="I43" s="1151"/>
      <c r="J43" s="17"/>
      <c r="K43" s="1151" t="str">
        <f ca="1">IF($S$12=1,IF($AC$7=1,AB44,IF($AC$11=1,AC44,"")),IF(AND($S$12=2,OR($Z$43="LEEG",$Z$43="ONGELDIG")),IF($AC$7=1,AB44,IF($AC$11=1,AC44,"")),""))</f>
        <v>Georgië</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6</v>
      </c>
      <c r="AH43" s="143">
        <f ca="1">IF($AC$7=1,VLOOKUP($V43,Groepswedstrijden!$AH$12:$BA$78,11,FALSE),IF($AC$11=1,VLOOKUP($V43,#REF!,11,FALSE),""))</f>
        <v>2</v>
      </c>
      <c r="AI43" s="219">
        <f ca="1">IF($AC$7=1,VLOOKUP($V43,Groepswedstrijden!$AH$12:$BA$78,19,FALSE),IF($AC$11=1,VLOOKUP($V43,#REF!,19,FALSE),""))</f>
        <v>95040603500002</v>
      </c>
      <c r="AJ43" s="224">
        <f ca="1">FLOOR(IF($AD41=3,AI41,IF($AD42=3,AI42,IF($AD43=3,AI43,AI44)))/10,1)</f>
        <v>3498020350000</v>
      </c>
      <c r="AL43" s="1174"/>
      <c r="AM43" s="339" t="str">
        <f ca="1">IF(AJ43=AJ42,"","3.")</f>
        <v>3.</v>
      </c>
      <c r="AN43" s="340" t="str">
        <f ca="1">IF($AD41=3,AE41,IF($AD42=3,AE42,IF($AD43=3,AE43,AE44)))</f>
        <v>Tsjechië</v>
      </c>
      <c r="AO43" s="341">
        <f ca="1">IF($AD41=3,AF41,IF($AD42=3,AF42,IF($AD43=3,AF43,AF44)))</f>
        <v>3</v>
      </c>
      <c r="AP43" s="341">
        <f ca="1">IF($AD41=3,AG41,IF($AD42=3,AG42,IF($AD43=3,AG43,AG44)))</f>
        <v>2</v>
      </c>
      <c r="AQ43" s="341">
        <f ca="1">IF($AD41=3,AH41,IF($AD42=3,AH42,IF($AD43=3,AH43,AH44)))</f>
        <v>4</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3</v>
      </c>
      <c r="AG44" s="143">
        <f ca="1">IF($AC$7=1,VLOOKUP($V44,Groepswedstrijden!$AH$12:$BA$78,10,FALSE),IF($AC$11=1,VLOOKUP($V44,#REF!,10,FALSE),""))</f>
        <v>2</v>
      </c>
      <c r="AH44" s="143">
        <f ca="1">IF($AC$7=1,VLOOKUP($V44,Groepswedstrijden!$AH$12:$BA$78,11,FALSE),IF($AC$11=1,VLOOKUP($V44,#REF!,11,FALSE),""))</f>
        <v>4</v>
      </c>
      <c r="AI44" s="219">
        <f ca="1">IF($AC$7=1,VLOOKUP($V44,Groepswedstrijden!$AH$12:$BA$78,19,FALSE),IF($AC$11=1,VLOOKUP($V44,#REF!,19,FALSE),""))</f>
        <v>34980203500003</v>
      </c>
      <c r="AJ44" s="224">
        <f ca="1">FLOOR(IF($AD41=4,AI41,IF($AD42=4,AI42,IF($AD43=4,AI43,AI44)))/10,1)</f>
        <v>497020350000</v>
      </c>
      <c r="AL44" s="1175"/>
      <c r="AM44" s="342" t="str">
        <f ca="1">IF(AJ44=AJ43,"","4.")</f>
        <v>4.</v>
      </c>
      <c r="AN44" s="343" t="str">
        <f ca="1">IF($AD41=4,AE41,IF($AD42=4,AE42,IF($AD43=4,AE43,AE44)))</f>
        <v>Georgië</v>
      </c>
      <c r="AO44" s="344">
        <f ca="1">IF($AD41=4,AF41,IF($AD42=4,AF42,IF($AD43=4,AF43,AF44)))</f>
        <v>0</v>
      </c>
      <c r="AP44" s="344">
        <f ca="1">IF($AD41=4,AG41,IF($AD42=4,AG42,IF($AD43=4,AG43,AG44)))</f>
        <v>2</v>
      </c>
      <c r="AQ44" s="344">
        <f ca="1">IF($AD41=4,AH41,IF($AD42=4,AH42,IF($AD43=4,AH43,AH44)))</f>
        <v>5</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Punten</v>
      </c>
      <c r="AP56" s="1167" t="str">
        <f ca="1">AP9</f>
        <v>Doelpunten voor</v>
      </c>
      <c r="AQ56" s="1167"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DE.CH.SC.HU|IT.ES.HR.AL|GB.RS.DK.SI|FR.NL.PL.AT|BE.RO.SK.UA|PT.TR.CZ.GE|</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2024-06-13T08:59:52Z</dcterms:modified>
</cp:coreProperties>
</file>